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C:\Users\v.sorokin\Desktop\"/>
    </mc:Choice>
  </mc:AlternateContent>
  <xr:revisionPtr revIDLastSave="0" documentId="13_ncr:1_{EBDB560B-6266-4D1B-B250-C91926F03024}"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activeTab="1"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<sst xmlns="http://schemas.openxmlformats.org/spreadsheetml/2006/main" count="22322" uniqueCount="15829">
  <si>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</si>
  <si>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</si>
  <si>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</si>
  <si>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</si>
  <si>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</si>
  <si>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</si>
  <si>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</si>
  <si>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</si>
  <si>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</si>
  <si>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</si>
  <si>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</si>
  <si>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</si>
  <si>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</si>
  <si>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</si>
  <si>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</si>
  <si>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</si>
  <si>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</si>
  <si>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</si>
  <si>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</si>
  <si>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</si>
  <si>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</si>
  <si>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</si>
  <si>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</si>
  <si>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</si>
  <si>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</si>
  <si>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</si>
  <si>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</si>
  <si>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</si>
  <si>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</si>
  <si>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</si>
  <si>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</si>
  <si>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</si>
  <si>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</si>
  <si>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</si>
  <si>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</si>
  <si>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</si>
  <si>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</si>
  <si>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</si>
  <si>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</si>
  <si>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</si>
  <si>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</si>
  <si>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</si>
  <si>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</si>
  <si>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</si>
  <si>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</si>
  <si>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</si>
  <si>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</si>
  <si>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</si>
  <si>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</si>
  <si>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</si>
  <si>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</si>
  <si>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</si>
  <si>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</si>
  <si>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</si>
  <si>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</si>
  <si>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</si>
  <si>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</si>
  <si>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</si>
  <si>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</si>
  <si>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</si>
  <si>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</si>
  <si>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</si>
  <si>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</si>
  <si>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</si>
  <si>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</si>
  <si>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</si>
  <si>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</si>
  <si>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</si>
  <si>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</si>
  <si>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</si>
  <si>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</si>
  <si>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</si>
  <si>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</si>
  <si>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</si>
  <si>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</si>
  <si>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</si>
  <si>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</si>
  <si>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</si>
  <si>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</si>
  <si>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</si>
  <si>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</si>
  <si>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</si>
  <si>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</si>
  <si>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</si>
  <si>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</si>
  <si>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</si>
  <si>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</si>
  <si>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</si>
  <si>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</si>
  <si>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</si>
  <si>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</si>
  <si>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</si>
  <si>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</si>
  <si>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</si>
  <si>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</si>
  <si>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</si>
  <si>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</si>
  <si>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</si>
  <si>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</si>
  <si>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</si>
  <si>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</si>
  <si>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</si>
  <si>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</si>
  <si>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</si>
  <si>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</si>
  <si>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</si>
  <si>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</si>
  <si>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</si>
  <si>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</si>
  <si>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</si>
  <si>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</si>
  <si>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</si>
  <si>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</si>
  <si>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</si>
  <si>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</si>
  <si>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</si>
  <si>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</si>
  <si>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</si>
  <si>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</si>
  <si>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</si>
  <si>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</si>
  <si>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</si>
  <si>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</si>
  <si>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</si>
  <si>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</si>
  <si>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</si>
  <si>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</si>
  <si>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</si>
  <si>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</si>
  <si>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</si>
  <si>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</si>
  <si>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</si>
  <si>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</si>
  <si>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</si>
  <si>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</si>
  <si>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</si>
  <si>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</si>
  <si>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</si>
  <si>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</si>
  <si>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</si>
  <si>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</si>
  <si>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</si>
  <si>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</si>
  <si>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</si>
  <si>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</si>
  <si>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</si>
  <si>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</si>
  <si>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</si>
  <si>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</si>
  <si>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</si>
  <si>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</si>
  <si>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</si>
  <si>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</si>
  <si>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</si>
  <si>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</si>
  <si>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</si>
  <si>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</si>
  <si>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</si>
  <si>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</si>
  <si>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</si>
  <si>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</si>
  <si>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</si>
  <si>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</si>
  <si>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</si>
  <si>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</si>
  <si>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</si>
  <si>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</si>
  <si>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</si>
  <si>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</si>
  <si>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</si>
  <si>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</si>
  <si>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</si>
  <si>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</si>
  <si>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</si>
  <si>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</si>
  <si>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</si>
  <si>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</si>
  <si>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</si>
  <si>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</si>
  <si>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</si>
  <si>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</si>
  <si>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</si>
  <si>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</si>
  <si>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</si>
  <si>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</si>
  <si>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</si>
  <si>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</si>
  <si>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</si>
  <si>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</si>
  <si>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</si>
  <si>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</si>
  <si>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</si>
  <si>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</si>
  <si>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</si>
  <si>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</si>
  <si>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</si>
  <si>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</si>
  <si>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</si>
  <si>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</si>
  <si>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</si>
  <si>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</si>
  <si>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</si>
  <si>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</si>
  <si>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</si>
  <si>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</si>
  <si>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</si>
  <si>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</si>
  <si>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</si>
  <si>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</si>
  <si>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</si>
  <si>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</si>
  <si>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</si>
  <si>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</si>
  <si>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</si>
  <si>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</si>
  <si>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</si>
  <si>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</si>
  <si>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</si>
  <si>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</si>
  <si>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</si>
  <si>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</si>
  <si>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</si>
  <si>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</si>
  <si>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</si>
  <si>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</si>
  <si>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</si>
  <si>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</si>
  <si>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</si>
  <si>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</si>
  <si>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</si>
  <si>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</si>
  <si>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</si>
  <si>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</si>
  <si>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</si>
  <si>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</si>
  <si>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</si>
  <si>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</si>
  <si>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</si>
  <si>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</si>
  <si>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</si>
  <si>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</si>
  <si>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</si>
  <si>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</si>
  <si>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</si>
  <si>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</si>
  <si>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</si>
  <si>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</si>
  <si>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</si>
  <si>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</si>
  <si>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</si>
  <si>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</si>
  <si>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</si>
  <si>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</si>
  <si>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</si>
  <si>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</si>
  <si>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</si>
  <si>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</si>
  <si>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</si>
  <si>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</si>
  <si>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</si>
  <si>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</si>
  <si>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</si>
  <si>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</si>
  <si>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</si>
  <si>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</si>
  <si>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</si>
  <si>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</si>
  <si>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</si>
  <si>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</si>
  <si>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</si>
  <si>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</si>
  <si>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</si>
  <si>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</si>
  <si>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</si>
  <si>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</si>
  <si>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</si>
  <si>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</si>
  <si>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</si>
  <si>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</si>
  <si>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</si>
  <si>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</si>
  <si>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</si>
  <si>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</si>
  <si>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</si>
  <si>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</si>
  <si>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</si>
  <si>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</si>
  <si>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</si>
  <si>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</si>
  <si>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</si>
  <si>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</si>
  <si>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</si>
  <si>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</si>
  <si>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</si>
  <si>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</si>
  <si>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</si>
  <si>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</si>
  <si>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</si>
  <si>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</si>
  <si>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</si>
  <si>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</si>
  <si>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</si>
  <si>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</si>
  <si>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</si>
  <si>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</si>
  <si>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</si>
  <si>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</si>
  <si>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</si>
  <si>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</si>
  <si>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</si>
  <si>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</si>
  <si>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</si>
  <si>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</si>
  <si>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</si>
  <si>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</si>
  <si>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</si>
  <si>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</si>
  <si>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</si>
  <si>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</si>
  <si>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</si>
  <si>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</si>
  <si>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</si>
  <si>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</si>
  <si>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</si>
  <si>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</si>
  <si>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</si>
  <si>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</si>
  <si>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</si>
  <si>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</si>
  <si>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</si>
  <si>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</si>
  <si>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</si>
  <si>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</si>
  <si>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</si>
  <si>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</si>
  <si>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</si>
  <si>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</si>
  <si>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</si>
  <si>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</si>
  <si>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</si>
  <si>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</si>
  <si>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</si>
  <si>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</si>
  <si>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</si>
  <si>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</si>
  <si>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</si>
  <si>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</si>
  <si>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</si>
  <si>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</si>
  <si>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</si>
  <si>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</si>
  <si>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</si>
  <si>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</si>
  <si>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</si>
  <si>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</si>
  <si>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</si>
  <si>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</si>
  <si>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</si>
  <si>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</si>
  <si>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</si>
  <si>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</si>
  <si>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</si>
  <si>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</si>
  <si>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</si>
  <si>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</si>
  <si>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</si>
  <si>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</si>
  <si>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</si>
  <si>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</si>
  <si>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</si>
  <si>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</si>
  <si>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</si>
  <si>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</si>
  <si>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</si>
  <si>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</si>
  <si>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</si>
  <si>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</si>
  <si>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</si>
  <si>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</si>
  <si>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</si>
  <si>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</si>
  <si>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</si>
  <si>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</si>
  <si>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</si>
  <si>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</si>
  <si>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</si>
  <si>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</si>
  <si>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</si>
  <si>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</si>
  <si>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</si>
  <si>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</si>
  <si>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</si>
  <si>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</si>
  <si>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</si>
  <si>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</si>
  <si>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</si>
  <si>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</si>
  <si>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</si>
  <si>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</si>
  <si>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</si>
  <si>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</si>
  <si>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</si>
  <si>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</si>
  <si>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</si>
  <si>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</si>
  <si>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</si>
  <si>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</si>
  <si>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</si>
  <si>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</si>
  <si>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</si>
  <si>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</si>
  <si>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</si>
  <si>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</si>
  <si>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</si>
  <si>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</si>
  <si>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</si>
  <si>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</si>
  <si>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</si>
  <si>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</si>
  <si>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</si>
  <si>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</si>
  <si>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</si>
  <si>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</si>
  <si>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</si>
  <si>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</si>
  <si>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</si>
  <si>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</si>
  <si>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</si>
  <si>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</si>
  <si>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</si>
  <si>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</si>
  <si>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</si>
  <si>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</si>
  <si>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</si>
  <si>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</si>
  <si>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</si>
  <si>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</si>
  <si>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</si>
  <si>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</si>
  <si>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</si>
  <si>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</si>
  <si>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</si>
  <si>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</si>
  <si>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</si>
  <si>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</si>
  <si>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</si>
  <si>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</si>
  <si>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</si>
  <si>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</si>
  <si>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</si>
  <si>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</si>
  <si>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</si>
  <si>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</si>
  <si>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</si>
  <si>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</si>
  <si>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</si>
  <si>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</si>
  <si>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</si>
  <si>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</si>
  <si>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</si>
  <si>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</si>
  <si>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</si>
  <si>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</si>
  <si>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</si>
  <si>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</si>
  <si>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</si>
  <si>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</si>
  <si>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</si>
  <si>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</si>
  <si>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</si>
  <si>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</si>
  <si>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</si>
  <si>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</si>
  <si>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</si>
  <si>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</si>
  <si>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</si>
  <si>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</si>
  <si>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</si>
  <si>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</si>
  <si>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</si>
  <si>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</si>
  <si>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</si>
  <si>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</si>
  <si>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</si>
  <si>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</si>
  <si>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</si>
  <si>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</si>
  <si>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</si>
  <si>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</si>
  <si>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</si>
  <si>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</si>
  <si>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</si>
  <si>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</si>
  <si>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</si>
  <si>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</si>
  <si>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</si>
  <si>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</si>
  <si>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</si>
  <si>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</si>
  <si>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</si>
  <si>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</si>
  <si>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</si>
  <si>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</si>
  <si>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</si>
  <si>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</si>
  <si>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</si>
  <si>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</si>
  <si>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</si>
  <si>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</si>
  <si>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</si>
  <si>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</si>
  <si>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</si>
  <si>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</si>
  <si>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</si>
  <si>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</si>
  <si>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</si>
  <si>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</si>
  <si>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</si>
  <si>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</si>
  <si>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</si>
  <si>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</si>
  <si>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</si>
  <si>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</si>
  <si>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</si>
  <si>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</si>
  <si>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</si>
  <si>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</si>
  <si>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</si>
  <si>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</si>
  <si>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</si>
  <si>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</si>
  <si>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</si>
  <si>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</si>
  <si>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</si>
  <si>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</si>
  <si>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</si>
  <si>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</si>
  <si>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</si>
  <si>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</si>
  <si>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</si>
  <si>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</si>
  <si>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</si>
  <si>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</si>
  <si>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</si>
  <si>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</si>
  <si>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</si>
  <si>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</si>
  <si>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</si>
  <si>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</si>
  <si>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</si>
  <si>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</si>
  <si>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</si>
  <si>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</si>
  <si>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</si>
  <si>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</si>
  <si>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</si>
  <si>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</si>
  <si>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</si>
  <si>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</si>
  <si>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</si>
  <si>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</si>
  <si>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</si>
  <si>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</si>
  <si>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</si>
  <si>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</si>
  <si>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</si>
  <si>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</si>
  <si>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</si>
  <si>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</si>
  <si>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</si>
  <si>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</si>
  <si>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</si>
  <si>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</si>
  <si>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</si>
  <si>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</si>
  <si>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</si>
  <si>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</si>
  <si>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</si>
  <si>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</si>
  <si>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</si>
  <si>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</si>
  <si>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</si>
  <si>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</si>
  <si>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</si>
  <si>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</si>
  <si>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</si>
  <si>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</si>
  <si>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</si>
  <si>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</si>
  <si>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</si>
  <si>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</si>
  <si>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</si>
  <si>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</si>
  <si>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</si>
  <si>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</si>
  <si>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</si>
  <si>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</si>
  <si>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</si>
  <si>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</si>
  <si>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</si>
  <si>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</si>
  <si>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</si>
  <si>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</si>
  <si>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</si>
  <si>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</si>
  <si>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</si>
  <si>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</si>
  <si>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</si>
  <si>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</si>
  <si>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</si>
  <si>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</si>
  <si>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</si>
  <si>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</si>
  <si>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</si>
  <si>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</si>
  <si>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</si>
  <si>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</si>
  <si>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</si>
  <si>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</si>
  <si>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</si>
  <si>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</si>
  <si>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</si>
  <si>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</si>
  <si>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</si>
  <si>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</si>
  <si>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</si>
  <si>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</si>
  <si>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</si>
  <si>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</si>
  <si>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</si>
  <si>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</si>
  <si>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</si>
  <si>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</si>
  <si>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</si>
  <si>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</si>
  <si>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</si>
  <si>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</si>
  <si>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</si>
  <si>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</si>
  <si>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</si>
  <si>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</si>
  <si>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</si>
  <si>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</si>
  <si>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</si>
  <si>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</si>
  <si>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</si>
  <si>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</si>
  <si>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</si>
  <si>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</si>
  <si>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</si>
  <si>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</si>
  <si>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</si>
  <si>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</si>
  <si>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</si>
  <si>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</si>
  <si>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</si>
  <si>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</si>
  <si>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</si>
  <si>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</si>
  <si>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</si>
  <si>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</si>
  <si>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</si>
  <si>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</si>
  <si>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</si>
  <si>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</si>
  <si>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</si>
  <si>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</si>
  <si>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</si>
  <si>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</si>
  <si>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</si>
  <si>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</si>
  <si>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</si>
  <si>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</si>
  <si>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</si>
  <si>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</si>
  <si>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</si>
  <si>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</si>
  <si>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</si>
  <si>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</si>
  <si>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</si>
  <si>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</si>
  <si>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</si>
  <si>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</si>
  <si>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</si>
  <si>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</si>
  <si>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</si>
  <si>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</si>
  <si>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</si>
  <si>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</si>
  <si>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</si>
  <si>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</si>
  <si>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</si>
  <si>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</si>
  <si>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</si>
  <si>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</si>
  <si>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</si>
  <si>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</si>
  <si>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</si>
  <si>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</si>
  <si>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</si>
  <si>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</si>
  <si>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</si>
  <si>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</si>
  <si>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</si>
  <si>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</si>
  <si>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</si>
  <si>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</si>
  <si>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</si>
  <si>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</si>
  <si>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</si>
  <si>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</si>
  <si>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</si>
  <si>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</si>
  <si>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</si>
  <si>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</si>
  <si>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</si>
  <si>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</si>
  <si>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</si>
  <si>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</si>
  <si>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</si>
  <si>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</si>
  <si>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</si>
  <si>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</si>
  <si>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</si>
  <si>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</si>
  <si>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</si>
  <si>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</si>
  <si>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</si>
  <si>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</si>
  <si>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</si>
  <si>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</si>
  <si>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</si>
  <si>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</si>
  <si>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</si>
  <si>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</si>
  <si>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</si>
  <si>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</si>
  <si>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</si>
  <si>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</si>
  <si>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</si>
  <si>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</si>
  <si>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</si>
  <si>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</si>
  <si>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</si>
  <si>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</si>
  <si>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</si>
  <si>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</si>
  <si>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</si>
  <si>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</si>
  <si>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</si>
  <si>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</si>
  <si>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</si>
  <si>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</si>
  <si>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</si>
  <si>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</si>
  <si>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</si>
  <si>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</si>
  <si>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</si>
  <si>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</si>
  <si>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</si>
  <si>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</si>
  <si>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</si>
  <si>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</si>
  <si>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</si>
  <si>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</si>
  <si>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</si>
  <si>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</si>
  <si>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</si>
  <si>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</si>
  <si>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</si>
  <si>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</si>
  <si>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</si>
  <si>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</si>
  <si>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</si>
  <si>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</si>
  <si>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</si>
  <si>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</si>
  <si>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</si>
  <si>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</si>
  <si>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</si>
  <si>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</si>
  <si>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</si>
  <si>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</si>
  <si>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</si>
  <si>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</si>
  <si>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</si>
  <si>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</si>
  <si>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</si>
  <si>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</si>
  <si>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</si>
  <si>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</si>
  <si>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</si>
  <si>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</si>
  <si>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</si>
  <si>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</si>
  <si>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</si>
  <si>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</si>
  <si>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</si>
  <si>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</si>
  <si>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</si>
  <si>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</si>
  <si>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</si>
  <si>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</si>
  <si>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</si>
  <si>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</si>
  <si>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</si>
  <si>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</si>
  <si>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</si>
  <si>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</si>
  <si>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</si>
  <si>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</si>
  <si>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</si>
  <si>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</si>
  <si>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</si>
  <si>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</si>
  <si>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</si>
  <si>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</si>
  <si>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</si>
  <si>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</si>
  <si>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</si>
  <si>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</si>
  <si>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</si>
  <si>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</si>
  <si>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</si>
  <si>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</si>
  <si>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</si>
  <si>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</si>
  <si>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</si>
  <si>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</si>
  <si>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</si>
  <si>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</si>
  <si>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</si>
  <si>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</si>
  <si>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</si>
  <si>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</si>
  <si>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</si>
  <si>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</si>
  <si>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</si>
  <si>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</si>
  <si>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</si>
  <si>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</si>
  <si>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</si>
  <si>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</si>
  <si>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</si>
  <si>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</si>
  <si>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</si>
  <si>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</si>
  <si>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</si>
  <si>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</si>
  <si>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</si>
  <si>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</si>
  <si>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</si>
  <si>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</si>
  <si>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</si>
  <si>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</si>
  <si>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</si>
  <si>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</si>
  <si>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</si>
  <si>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</si>
  <si>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</si>
  <si>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</si>
  <si>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</si>
  <si>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</si>
  <si>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</si>
  <si>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</si>
  <si>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</si>
  <si>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</si>
  <si>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</si>
  <si>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</si>
  <si>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</si>
  <si>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</si>
  <si>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</si>
  <si>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</si>
  <si>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</si>
  <si>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</si>
  <si>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</si>
  <si>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</si>
  <si>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</si>
  <si>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</si>
  <si>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</si>
  <si>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</si>
  <si>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</si>
  <si>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</si>
  <si>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</si>
  <si>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</si>
  <si>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</si>
  <si>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</si>
  <si>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</si>
  <si>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</si>
  <si>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</si>
  <si>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</si>
  <si>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</si>
  <si>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</si>
  <si>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</si>
  <si>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</si>
  <si>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</si>
  <si>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</si>
  <si>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</si>
  <si>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</si>
  <si>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</si>
  <si>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</si>
  <si>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</si>
  <si>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</si>
  <si>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</si>
  <si>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</si>
  <si>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</si>
  <si>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</si>
  <si>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</si>
  <si>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</si>
  <si>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</si>
  <si>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</si>
  <si>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</si>
  <si>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</si>
  <si>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</si>
  <si>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</si>
  <si>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</si>
  <si>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</si>
  <si>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</si>
  <si>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</si>
  <si>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</si>
  <si>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</si>
  <si>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</si>
  <si>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</si>
  <si>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</si>
  <si>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</si>
  <si>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</si>
  <si>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</si>
  <si>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</si>
  <si>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</si>
  <si>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</si>
  <si>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</si>
  <si>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</si>
  <si>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</si>
  <si>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</si>
  <si>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</si>
  <si>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</si>
  <si>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</si>
  <si>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</si>
  <si>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</si>
  <si>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</si>
  <si>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</si>
  <si>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</si>
  <si>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</si>
  <si>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</si>
  <si>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</si>
  <si>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</si>
  <si>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</si>
  <si>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</si>
  <si>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</si>
  <si>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</si>
  <si>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</si>
  <si>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</si>
  <si>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</si>
  <si>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</si>
  <si>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</si>
  <si>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</si>
  <si>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</si>
  <si>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</si>
  <si>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</si>
  <si>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</si>
  <si>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</si>
  <si>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</si>
  <si>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</si>
  <si>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</si>
  <si>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</si>
  <si>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</si>
  <si>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</si>
  <si>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</si>
  <si>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</si>
  <si>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</si>
  <si>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</si>
  <si>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</si>
  <si>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</si>
  <si>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</si>
  <si>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</si>
  <si>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</si>
  <si>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</si>
  <si>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</si>
  <si>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</si>
  <si>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</si>
  <si>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</si>
  <si>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</si>
  <si>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</si>
  <si>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</si>
  <si>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</si>
  <si>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</si>
  <si>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</si>
  <si>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</si>
  <si>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</si>
  <si>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</si>
  <si>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</si>
  <si>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</si>
  <si>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</si>
  <si>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</si>
  <si>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</si>
  <si>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</si>
  <si>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</si>
  <si>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</si>
  <si>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</si>
  <si>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</si>
  <si>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</si>
  <si>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</si>
  <si>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</si>
  <si>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</si>
  <si>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</si>
  <si>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</si>
  <si>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</si>
  <si>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</si>
  <si>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</si>
  <si>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</si>
  <si>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</si>
  <si>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</si>
  <si>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</si>
  <si>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</si>
  <si>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</si>
  <si>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</si>
  <si>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</si>
  <si>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</si>
  <si>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</si>
  <si>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</si>
  <si>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</si>
  <si>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</si>
  <si>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</si>
  <si>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</si>
  <si>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</si>
  <si>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</si>
  <si>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</si>
  <si>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</si>
  <si>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</si>
  <si>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</si>
  <si>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</si>
  <si>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</si>
  <si>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</si>
  <si>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</si>
  <si>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</si>
  <si>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</si>
  <si>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</si>
  <si>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</si>
  <si>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</si>
  <si>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</si>
  <si>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</si>
  <si>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</si>
  <si>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</si>
  <si>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</si>
  <si>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</si>
  <si>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</si>
  <si>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</si>
  <si>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</si>
  <si>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</si>
  <si>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</si>
  <si>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</si>
  <si>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</si>
  <si>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</si>
  <si>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</si>
  <si>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</si>
  <si>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</si>
  <si>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</si>
  <si>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</si>
  <si>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</si>
  <si>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</si>
  <si>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</si>
  <si>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</si>
  <si>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</si>
  <si>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</si>
  <si>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</si>
  <si>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</si>
  <si>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</si>
  <si>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</si>
  <si>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</si>
  <si>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</si>
  <si>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</si>
  <si>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</si>
  <si>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</si>
  <si>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</si>
  <si>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</si>
  <si>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</si>
  <si>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</si>
  <si>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</si>
  <si>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</si>
  <si>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</si>
  <si>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</si>
  <si>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</si>
  <si>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</si>
  <si>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</si>
  <si>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</si>
  <si>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</si>
  <si>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</si>
  <si>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</si>
  <si>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</si>
  <si>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</si>
  <si>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</si>
  <si>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</si>
  <si>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</si>
  <si>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</si>
  <si>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</si>
  <si>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</si>
  <si>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</si>
  <si>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</si>
  <si>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</si>
  <si>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</si>
  <si>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</si>
  <si>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</si>
  <si>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</si>
  <si>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</si>
  <si>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</si>
  <si>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</si>
  <si>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</si>
  <si>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</si>
  <si>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</si>
  <si>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</si>
  <si>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</si>
  <si>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</si>
  <si>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</si>
  <si>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</si>
  <si>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</si>
  <si>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</si>
  <si>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</si>
  <si>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</si>
  <si>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</si>
  <si>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</si>
  <si>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</si>
  <si>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</si>
  <si>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</si>
  <si>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</si>
  <si>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</si>
  <si>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</si>
  <si>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</si>
  <si>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</si>
  <si>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</si>
  <si>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</si>
  <si>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</si>
  <si>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</si>
  <si>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</si>
  <si>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</si>
  <si>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</si>
  <si>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</si>
  <si>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</si>
  <si>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</si>
  <si>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</si>
  <si>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</si>
  <si>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</si>
  <si>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</si>
  <si>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</si>
  <si>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</si>
  <si>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</si>
  <si>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</si>
  <si>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</si>
  <si>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</si>
  <si>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</si>
  <si>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</si>
  <si>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</si>
  <si>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</si>
  <si>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</si>
  <si>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</si>
  <si>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</si>
  <si>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</si>
  <si>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</si>
  <si>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</si>
  <si>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</si>
  <si>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</si>
  <si>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</si>
  <si>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</si>
  <si>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</si>
  <si>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</si>
  <si>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</si>
  <si>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</si>
  <si>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</si>
  <si>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</si>
  <si>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</si>
  <si>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</si>
  <si>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</si>
  <si>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</si>
  <si>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</si>
  <si>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</si>
  <si>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</si>
  <si>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</si>
  <si>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</si>
  <si>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</si>
  <si>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</si>
  <si>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</si>
  <si>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</si>
  <si>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</si>
  <si>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</si>
  <si>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</si>
  <si>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</si>
  <si>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</si>
  <si>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</si>
  <si>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</si>
  <si>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</si>
  <si>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</si>
  <si>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</si>
  <si>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</si>
  <si>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</si>
  <si>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</si>
  <si>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</si>
  <si>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</si>
  <si>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</si>
  <si>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</si>
  <si>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</si>
  <si>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</si>
  <si>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</si>
  <si>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</si>
  <si>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</si>
  <si>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</si>
  <si>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</si>
  <si>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</si>
  <si>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</si>
  <si>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</si>
  <si>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</si>
  <si>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</si>
  <si>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</si>
  <si>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</si>
  <si>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</si>
  <si>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</si>
  <si>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</si>
  <si>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</si>
  <si>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</si>
  <si>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</si>
  <si>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</si>
  <si>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</si>
  <si>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</si>
  <si>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</si>
  <si>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</si>
  <si>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</si>
  <si>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</si>
  <si>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</si>
  <si>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</si>
  <si>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</si>
  <si>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</si>
  <si>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</si>
  <si>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</si>
  <si>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</si>
  <si>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</si>
  <si>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</si>
  <si>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</si>
  <si>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</si>
  <si>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</si>
  <si>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</si>
  <si>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</si>
  <si>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</si>
  <si>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</si>
  <si>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</si>
  <si>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</si>
  <si>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</si>
  <si>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</si>
  <si>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</si>
  <si>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</si>
  <si>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</si>
  <si>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</si>
  <si>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</si>
  <si>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</si>
  <si>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</si>
  <si>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</si>
  <si>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</si>
  <si>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</si>
  <si>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</si>
  <si>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</si>
  <si>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</si>
  <si>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</si>
  <si>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</si>
  <si>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</si>
  <si>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</si>
  <si>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</si>
  <si>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</si>
  <si>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</si>
  <si>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</si>
  <si>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</si>
  <si>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</si>
  <si>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</si>
  <si>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</si>
  <si>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</si>
  <si>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</si>
  <si>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</si>
  <si>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</si>
  <si>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</si>
  <si>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</si>
  <si>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</si>
  <si>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</si>
  <si>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</si>
  <si>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</si>
  <si>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</si>
  <si>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</si>
  <si>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</si>
  <si>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</si>
  <si>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</si>
  <si>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</si>
  <si>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</si>
  <si>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</si>
  <si>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</si>
  <si>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</si>
  <si>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</si>
  <si>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</si>
  <si>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</si>
  <si>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</si>
  <si>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</si>
  <si>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</si>
  <si>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</si>
  <si>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</si>
  <si>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</si>
  <si>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</si>
  <si>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</si>
  <si>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</si>
  <si>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</si>
  <si>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</si>
  <si>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</si>
  <si>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</si>
  <si>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</si>
  <si>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</si>
  <si>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</si>
  <si>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</si>
  <si>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</si>
  <si>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</si>
  <si>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</si>
  <si>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</si>
  <si>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</si>
  <si>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</si>
  <si>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</si>
  <si>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</si>
  <si>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</si>
  <si>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</si>
  <si>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</si>
  <si>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</si>
  <si>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</si>
  <si>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</si>
  <si>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</si>
  <si>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</si>
  <si>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</si>
  <si>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</si>
  <si>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</si>
  <si>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</si>
  <si>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</si>
  <si>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</si>
  <si>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</si>
  <si>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</si>
  <si>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</si>
  <si>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</si>
  <si>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</si>
  <si>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</si>
  <si>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</si>
  <si>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</si>
  <si>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</si>
  <si>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</si>
  <si>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</si>
  <si>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</si>
  <si>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</si>
  <si>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</si>
  <si>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</si>
  <si>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</si>
  <si>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</si>
  <si>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</si>
  <si>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</si>
  <si>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</si>
  <si>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</si>
  <si>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</si>
  <si>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</si>
  <si>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</si>
  <si>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</si>
  <si>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</si>
  <si>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</si>
  <si>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</si>
  <si>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</si>
  <si>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</si>
  <si>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</si>
  <si>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</si>
  <si>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</si>
  <si>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</si>
  <si>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</si>
  <si>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</si>
  <si>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</si>
  <si>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</si>
  <si>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</si>
  <si>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</si>
  <si>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</si>
  <si>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</si>
  <si>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</si>
  <si>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</si>
  <si>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</si>
  <si>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</si>
  <si>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</si>
  <si>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</si>
  <si>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</si>
  <si>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</si>
  <si>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</si>
  <si>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</si>
  <si>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</si>
  <si>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</si>
  <si>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</si>
  <si>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</si>
  <si>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</si>
  <si>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</si>
  <si>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</si>
  <si>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</si>
  <si>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</si>
  <si>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</si>
  <si>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</si>
  <si>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</si>
  <si>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</si>
  <si>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</si>
  <si>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</si>
  <si>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</si>
  <si>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</si>
  <si>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</si>
  <si>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</si>
  <si>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</si>
  <si>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</si>
  <si>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</si>
  <si>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</si>
  <si>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</si>
  <si>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</si>
  <si>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</si>
  <si>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</si>
  <si>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</si>
  <si>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</si>
  <si>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</si>
  <si>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</si>
  <si>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</si>
  <si>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</si>
  <si>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</si>
  <si>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</si>
  <si>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</si>
  <si>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</si>
  <si>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</si>
  <si>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</si>
  <si>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</si>
  <si>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</si>
  <si>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</si>
  <si>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</si>
  <si>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</si>
  <si>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</si>
  <si>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</si>
  <si>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</si>
  <si>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</si>
  <si>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</si>
  <si>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</si>
  <si>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</si>
  <si>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</si>
  <si>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</si>
  <si>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</si>
  <si>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</si>
  <si>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</si>
  <si>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</si>
  <si>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</si>
  <si>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</si>
  <si>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</si>
  <si>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</si>
  <si>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</si>
  <si>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</si>
  <si>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</si>
  <si>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</si>
  <si>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</si>
  <si>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</si>
  <si>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</si>
  <si>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</si>
  <si>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</si>
  <si>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</si>
  <si>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</si>
  <si>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</si>
  <si>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</si>
  <si>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</si>
  <si>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</si>
  <si>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</si>
  <si>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</si>
  <si>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</si>
  <si>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</si>
  <si>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</si>
  <si>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</si>
  <si>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</si>
  <si>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</si>
  <si>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</si>
  <si>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</si>
  <si>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</si>
  <si>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</si>
  <si>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</si>
  <si>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</si>
  <si>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</si>
  <si>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</si>
  <si>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</si>
  <si>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</si>
  <si>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</si>
  <si>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</si>
  <si>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</si>
  <si>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</si>
  <si>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</si>
  <si>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</si>
  <si>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</si>
  <si>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</si>
  <si>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</si>
  <si>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</si>
  <si>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</si>
  <si>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</si>
  <si>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</si>
  <si>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</si>
  <si>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</si>
  <si>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</si>
  <si>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</si>
  <si>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</si>
  <si>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</si>
  <si>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</si>
  <si>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</si>
  <si>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</si>
  <si>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</si>
  <si>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</si>
  <si>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</si>
  <si>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</si>
  <si>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</si>
  <si>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</si>
  <si>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</si>
  <si>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</si>
  <si>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</si>
  <si>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</si>
  <si>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</si>
  <si>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</si>
  <si>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</si>
  <si>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</si>
  <si>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</si>
  <si>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</si>
  <si>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</si>
  <si>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</si>
  <si>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</si>
  <si>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</si>
  <si>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</si>
  <si>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</si>
  <si>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</si>
  <si>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</si>
  <si>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</si>
  <si>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</si>
  <si>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</si>
  <si>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</si>
  <si>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</si>
  <si>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</si>
  <si>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</si>
  <si>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</si>
  <si>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</si>
  <si>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</si>
  <si>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</si>
  <si>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</si>
  <si>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</si>
  <si>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</si>
  <si>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</si>
  <si>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</si>
  <si>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</si>
  <si>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</si>
  <si>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</si>
  <si>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</si>
  <si>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</si>
  <si>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</si>
  <si>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</si>
  <si>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</si>
  <si>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</si>
  <si>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</si>
  <si>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</si>
  <si>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</si>
  <si>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</si>
  <si>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</si>
  <si>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</si>
  <si>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</si>
  <si>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</si>
  <si>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</si>
  <si>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</si>
  <si>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</si>
  <si>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</si>
  <si>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</si>
  <si>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</si>
  <si>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</si>
  <si>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</si>
  <si>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</si>
  <si>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</si>
  <si>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</si>
  <si>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</si>
  <si>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</si>
  <si>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</si>
  <si>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</si>
  <si>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</si>
  <si>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</si>
  <si>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</si>
  <si>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</si>
  <si>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</si>
  <si>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</si>
  <si>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</si>
  <si>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</si>
  <si>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</si>
  <si>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</si>
  <si>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</si>
  <si>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</si>
  <si>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</si>
  <si>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</si>
  <si>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</si>
  <si>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</si>
  <si>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</si>
  <si>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</si>
  <si>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</si>
  <si>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</si>
  <si>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</si>
  <si>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</si>
  <si>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</si>
  <si>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</si>
  <si>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</si>
  <si>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</si>
  <si>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</si>
  <si>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</si>
  <si>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</si>
  <si>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</si>
  <si>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</si>
  <si>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</si>
  <si>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</si>
  <si>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</si>
  <si>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</si>
  <si>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</si>
  <si>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</si>
  <si>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</si>
  <si>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</si>
  <si>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</si>
  <si>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</si>
  <si>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</si>
  <si>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</si>
  <si>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</si>
  <si>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</si>
  <si>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</si>
  <si>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</si>
  <si>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</si>
  <si>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</si>
  <si>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</si>
  <si>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</si>
  <si>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</si>
  <si>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</si>
  <si>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</si>
  <si>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</si>
  <si>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</si>
  <si>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</si>
  <si>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</si>
  <si>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</si>
  <si>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</si>
  <si>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</si>
  <si>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</si>
  <si>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</si>
  <si>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</si>
  <si>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</si>
  <si>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</si>
  <si>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</si>
  <si>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</si>
  <si>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</si>
  <si>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</si>
  <si>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</si>
  <si>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</si>
  <si>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</si>
  <si>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</si>
  <si>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</si>
  <si>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</si>
  <si>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</si>
  <si>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</si>
  <si>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</si>
  <si>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</si>
  <si>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</si>
  <si>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</si>
  <si>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</si>
  <si>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</si>
  <si>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</si>
  <si>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</si>
  <si>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</si>
  <si>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</si>
  <si>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</si>
  <si>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</si>
  <si>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</si>
  <si>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</si>
  <si>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</si>
  <si>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</si>
  <si>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</si>
  <si>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</si>
  <si>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</si>
  <si>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</si>
  <si>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</si>
  <si>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</si>
  <si>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</si>
  <si>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</si>
  <si>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</si>
  <si>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</si>
  <si>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</si>
  <si>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</si>
  <si>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</si>
  <si>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</si>
  <si>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</si>
  <si>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</si>
  <si>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</si>
  <si>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</si>
  <si>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</si>
  <si>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</si>
  <si>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</si>
  <si>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</si>
  <si>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</si>
  <si>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</si>
  <si>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</si>
  <si>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</si>
  <si>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</si>
  <si>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</si>
  <si>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</si>
  <si>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</si>
  <si>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</si>
  <si>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</si>
  <si>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</si>
  <si>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</si>
  <si>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</si>
  <si>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</si>
  <si>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</si>
  <si>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</si>
  <si>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</si>
  <si>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</si>
  <si>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</si>
  <si>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</si>
  <si>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</si>
  <si>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</si>
  <si>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</si>
  <si>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</si>
  <si>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</si>
  <si>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</si>
  <si>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</si>
  <si>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</si>
  <si>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</si>
  <si>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</si>
  <si>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</si>
  <si>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</si>
  <si>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</si>
  <si>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</si>
  <si>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</si>
  <si>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</si>
  <si>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</si>
  <si>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</si>
  <si>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</si>
  <si>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</si>
  <si>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</si>
  <si>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</si>
  <si>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</si>
  <si>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</si>
  <si>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</si>
  <si>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</si>
  <si>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</si>
  <si>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</si>
  <si>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</si>
  <si>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</si>
  <si>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</si>
  <si>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</si>
  <si>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</si>
  <si>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</si>
  <si>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</si>
  <si>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</si>
  <si>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</si>
  <si>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</si>
  <si>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</si>
  <si>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</si>
  <si>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</si>
  <si>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</si>
  <si>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</si>
  <si>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</si>
  <si>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</si>
  <si>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</si>
  <si>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</si>
  <si>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</si>
  <si>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</si>
  <si>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</si>
  <si>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</si>
  <si>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</si>
  <si>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</si>
  <si>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</si>
  <si>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</si>
  <si>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</si>
  <si>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</si>
  <si>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</si>
  <si>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</si>
  <si>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</si>
  <si>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</si>
  <si>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</si>
  <si>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</si>
  <si>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</si>
  <si>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</si>
  <si>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</si>
  <si>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</si>
  <si>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</si>
  <si>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</si>
  <si>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</si>
  <si>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</si>
  <si>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</si>
  <si>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</si>
  <si>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</si>
  <si>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</si>
  <si>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</si>
  <si>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</si>
  <si>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</si>
  <si>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</si>
  <si>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</si>
  <si>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</si>
  <si>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</si>
  <si>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</si>
  <si>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</si>
  <si>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</si>
  <si>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</si>
  <si>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</si>
  <si>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</si>
  <si>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</si>
  <si>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</si>
  <si>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</si>
  <si>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</si>
  <si>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</si>
  <si>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</si>
  <si>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</si>
  <si>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</si>
  <si>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</si>
  <si>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</si>
  <si>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</si>
  <si>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</si>
  <si>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</si>
  <si>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</si>
  <si>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</si>
  <si>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</si>
  <si>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</si>
  <si>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</si>
  <si>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</si>
  <si>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</si>
  <si>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</si>
  <si>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</si>
  <si>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</si>
  <si>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</si>
  <si>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</si>
  <si>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</si>
  <si>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</si>
  <si>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</si>
  <si>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</si>
  <si>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</si>
  <si>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</si>
  <si>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</si>
  <si>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</si>
  <si>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</si>
  <si>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</si>
  <si>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</si>
  <si>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</si>
  <si>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</si>
  <si>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</si>
  <si>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</si>
  <si>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</si>
  <si>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</si>
  <si>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</si>
  <si>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</si>
  <si>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</si>
  <si>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</si>
  <si>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</si>
  <si>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</si>
  <si>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</si>
  <si>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</si>
  <si>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</si>
  <si>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</si>
  <si>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</si>
  <si>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</si>
  <si>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</si>
  <si>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</si>
  <si>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</si>
  <si>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</si>
  <si>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</si>
  <si>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</si>
  <si>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</si>
  <si>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</si>
  <si>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</si>
  <si>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</si>
  <si>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</si>
  <si>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</si>
  <si>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</si>
  <si>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</si>
  <si>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</si>
  <si>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</si>
  <si>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</si>
  <si>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</si>
  <si>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</si>
  <si>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</si>
  <si>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</si>
  <si>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</si>
  <si>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</si>
  <si>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</si>
  <si>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</si>
  <si>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</si>
  <si>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</si>
  <si>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</si>
  <si>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</si>
  <si>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</si>
  <si>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</si>
  <si>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</si>
  <si>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</si>
  <si>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</si>
  <si>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</si>
  <si>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</si>
  <si>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</si>
  <si>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</si>
  <si>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</si>
  <si>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</si>
  <si>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</si>
  <si>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</si>
  <si>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</si>
  <si>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</si>
  <si>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</si>
  <si>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</si>
  <si>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</si>
  <si>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</si>
  <si>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</si>
  <si>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</si>
  <si>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</si>
  <si>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</si>
  <si>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</si>
  <si>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</si>
  <si>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</si>
  <si>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</si>
  <si>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</si>
  <si>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</si>
  <si>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</si>
  <si>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</si>
  <si>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</si>
  <si>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</si>
  <si>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</si>
  <si>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</si>
  <si>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</si>
  <si>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</si>
  <si>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</si>
  <si>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</si>
  <si>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</si>
  <si>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</si>
  <si>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</si>
  <si>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</si>
  <si>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</si>
  <si>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</si>
  <si>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</si>
  <si>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</si>
  <si>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</si>
  <si>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</si>
  <si>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</si>
  <si>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</si>
  <si>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</si>
  <si>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</si>
  <si>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</si>
  <si>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</si>
  <si>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</si>
  <si>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</si>
  <si>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</si>
  <si>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</si>
  <si>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</si>
  <si>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</si>
  <si>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</si>
  <si>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</si>
  <si>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</si>
  <si>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</si>
  <si>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</si>
  <si>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</si>
  <si>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</si>
  <si>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</si>
  <si>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</si>
  <si>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</si>
  <si>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</si>
  <si>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</si>
  <si>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</si>
  <si>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</si>
  <si>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</si>
  <si>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</si>
  <si>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</si>
  <si>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</si>
  <si>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</si>
  <si>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</si>
  <si>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</si>
  <si>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</si>
  <si>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</si>
  <si>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</si>
  <si>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</si>
  <si>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</si>
  <si>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</si>
  <si>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</si>
  <si>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</si>
  <si>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</si>
  <si>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</si>
  <si>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</si>
  <si>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</si>
  <si>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</si>
  <si>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</si>
  <si>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</si>
  <si>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</si>
  <si>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</si>
  <si>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</si>
  <si>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</si>
  <si>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</si>
  <si>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</si>
  <si>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</si>
  <si>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</si>
  <si>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</si>
  <si>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</si>
  <si>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</si>
  <si>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</si>
  <si>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</si>
  <si>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</si>
  <si>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</si>
  <si>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</si>
  <si>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</si>
  <si>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</si>
  <si>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</si>
  <si>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</si>
  <si>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</si>
  <si>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</si>
  <si>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</si>
  <si>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</si>
  <si>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</si>
  <si>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</si>
  <si>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</si>
  <si>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</si>
  <si>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</si>
  <si>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</si>
  <si>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</si>
  <si>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</si>
  <si>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</si>
  <si>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</si>
  <si>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</si>
  <si>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</si>
  <si>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</si>
  <si>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</si>
  <si>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</si>
  <si>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</si>
  <si>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</si>
  <si>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</si>
  <si>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</si>
  <si>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</si>
  <si>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</si>
  <si>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</si>
  <si>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</si>
  <si>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</si>
  <si>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</si>
  <si>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</si>
  <si>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</si>
  <si>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</si>
  <si>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</si>
  <si>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</si>
  <si>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</si>
  <si>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</si>
  <si>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</si>
  <si>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</si>
  <si>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</si>
  <si>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</si>
  <si>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</si>
  <si>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</si>
  <si>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</si>
  <si>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</si>
  <si>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</si>
  <si>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</si>
  <si>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</si>
  <si>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</si>
  <si>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</si>
  <si>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</si>
  <si>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</si>
  <si>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</si>
  <si>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</si>
  <si>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</si>
  <si>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</si>
  <si>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</si>
  <si>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</si>
  <si>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</si>
  <si>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</si>
  <si>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</si>
  <si>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</si>
  <si>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</si>
  <si>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</si>
  <si>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</si>
  <si>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</si>
  <si>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</si>
  <si>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</si>
  <si>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</si>
  <si>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</si>
  <si>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</si>
  <si>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</si>
  <si>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</si>
  <si>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</si>
  <si>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</si>
  <si>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</si>
  <si>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</si>
  <si>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</si>
  <si>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</si>
  <si>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</si>
  <si>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</si>
  <si>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</si>
  <si>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</si>
  <si>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</si>
  <si>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</si>
  <si>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</si>
  <si>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</si>
  <si>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</si>
  <si>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</si>
  <si>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</si>
  <si>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</si>
  <si>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</si>
  <si>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</si>
  <si>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</si>
  <si>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</si>
  <si>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</si>
  <si>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</si>
  <si>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</si>
  <si>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</si>
  <si>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</si>
  <si>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</si>
  <si>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</si>
  <si>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</si>
  <si>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</si>
  <si>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</si>
  <si>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</si>
  <si>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</si>
  <si>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</si>
  <si>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</si>
  <si>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</si>
  <si>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</si>
  <si>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</si>
  <si>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</si>
  <si>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</si>
  <si>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</si>
  <si>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</si>
  <si>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</si>
  <si>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</si>
  <si>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</si>
  <si>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</si>
  <si>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</si>
  <si>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</si>
  <si>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</si>
  <si>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</si>
  <si>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</si>
  <si>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</si>
  <si>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</si>
  <si>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</si>
  <si>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</si>
  <si>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</si>
  <si>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</si>
  <si>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</si>
  <si>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</si>
  <si>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</si>
  <si>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</si>
  <si>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</si>
  <si>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</si>
  <si>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</si>
  <si>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</si>
  <si>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</si>
  <si>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</si>
  <si>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</si>
  <si>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</si>
  <si>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</si>
  <si>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</si>
  <si>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</si>
  <si>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</si>
  <si>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</si>
  <si>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</si>
  <si>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</si>
  <si>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</si>
  <si>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</si>
  <si>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</si>
  <si>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</si>
  <si>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</si>
  <si>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</si>
  <si>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</si>
  <si>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</si>
  <si>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</si>
  <si>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</si>
  <si>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</si>
  <si>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</si>
  <si>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</si>
  <si>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</si>
  <si>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</si>
  <si>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</si>
  <si>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</si>
  <si>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</si>
  <si>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</si>
  <si>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</si>
  <si>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</si>
  <si>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</si>
  <si>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</si>
  <si>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</si>
  <si>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</si>
  <si>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</si>
  <si>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</si>
  <si>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</si>
  <si>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</si>
  <si>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</si>
  <si>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</si>
  <si>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</si>
  <si>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</si>
  <si>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</si>
  <si>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</si>
  <si>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</si>
  <si>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</si>
  <si>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</si>
  <si>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</si>
  <si>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</si>
  <si>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</si>
  <si>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</si>
  <si>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</si>
  <si>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</si>
  <si>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</si>
  <si>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</si>
  <si>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</si>
  <si>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</si>
  <si>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</si>
  <si>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</si>
  <si>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</si>
  <si>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</si>
  <si>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</si>
  <si>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</si>
  <si>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</si>
  <si>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</si>
  <si>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</si>
  <si>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</si>
  <si>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</si>
  <si>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</si>
  <si>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</si>
  <si>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</si>
  <si>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</si>
  <si>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</si>
  <si>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</si>
  <si>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</si>
  <si>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</si>
  <si>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</si>
  <si>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</si>
  <si>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</si>
  <si>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</si>
  <si>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</si>
  <si>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</si>
  <si>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</si>
  <si>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</si>
  <si>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</si>
  <si>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</si>
  <si>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</si>
  <si>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</si>
  <si>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</si>
  <si>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</si>
  <si>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</si>
  <si>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</si>
  <si>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</si>
  <si>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</si>
  <si>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</si>
  <si>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</si>
  <si>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</si>
  <si>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</si>
  <si>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</si>
  <si>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</si>
  <si>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</si>
  <si>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</si>
  <si>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</si>
  <si>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</si>
  <si>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</si>
  <si>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</si>
  <si>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</si>
  <si>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</si>
  <si>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</si>
  <si>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</si>
  <si>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</si>
  <si>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</si>
  <si>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</si>
  <si>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</si>
  <si>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</si>
  <si>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</si>
  <si>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</si>
  <si>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</si>
  <si>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</si>
  <si>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</si>
  <si>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</si>
  <si>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</si>
  <si>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</si>
  <si>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</si>
  <si>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</si>
  <si>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</si>
  <si>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</si>
  <si>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</si>
  <si>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</si>
  <si>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</si>
  <si>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</si>
  <si>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</si>
  <si>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</si>
  <si>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</si>
  <si>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</si>
  <si>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</si>
  <si>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</si>
  <si>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</si>
  <si>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</si>
  <si>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</si>
  <si>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</si>
  <si>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</si>
  <si>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</si>
  <si>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</si>
  <si>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</si>
  <si>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</si>
  <si>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</si>
  <si>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</si>
  <si>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</si>
  <si>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</si>
  <si>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</si>
  <si>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</si>
  <si>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</si>
  <si>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</si>
  <si>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</si>
  <si>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</si>
  <si>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</si>
  <si>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</si>
  <si>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</si>
  <si>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</si>
  <si>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</si>
  <si>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</si>
  <si>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</si>
  <si>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</si>
  <si>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</si>
  <si>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</si>
  <si>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</si>
  <si>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</si>
  <si>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</si>
  <si>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</si>
  <si>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</si>
  <si>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</si>
  <si>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</si>
  <si>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</si>
  <si>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</si>
  <si>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</si>
  <si>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</si>
  <si>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</si>
  <si>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</si>
  <si>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</si>
  <si>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</si>
  <si>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</si>
  <si>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</si>
  <si>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</si>
  <si>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</si>
  <si>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</si>
  <si>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</si>
  <si>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</si>
  <si>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</si>
  <si>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</si>
  <si>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</si>
  <si>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</si>
  <si>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</si>
  <si>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</si>
  <si>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</si>
  <si>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</si>
  <si>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</si>
  <si>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</si>
  <si>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</si>
  <si>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</si>
  <si>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</si>
  <si>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</si>
  <si>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</si>
  <si>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</si>
  <si>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</si>
  <si>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</si>
  <si>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</si>
  <si>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</si>
  <si>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</si>
  <si>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</si>
  <si>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</si>
  <si>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</si>
  <si>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</si>
  <si>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</si>
  <si>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</si>
  <si>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</si>
  <si>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</si>
  <si>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</si>
  <si>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</si>
  <si>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</si>
  <si>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</si>
  <si>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</si>
  <si>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</si>
  <si>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</si>
  <si>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</si>
  <si>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</si>
  <si>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</si>
  <si>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</si>
  <si>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</si>
  <si>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</si>
  <si>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</si>
  <si>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</si>
  <si>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</si>
  <si>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</si>
  <si>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</si>
  <si>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</si>
  <si>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</si>
  <si>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</si>
  <si>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</si>
  <si>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</si>
  <si>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</si>
  <si>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</si>
  <si>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</si>
  <si>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</si>
  <si>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</si>
  <si>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</si>
  <si>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</si>
  <si>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</si>
  <si>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</si>
  <si>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</si>
  <si>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</si>
  <si>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</si>
  <si>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</si>
  <si>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</si>
  <si>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</si>
  <si>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</si>
  <si>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</si>
  <si>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</si>
  <si>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</si>
  <si>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</si>
  <si>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</si>
  <si>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</si>
  <si>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</si>
  <si>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</si>
  <si>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</si>
  <si>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</si>
  <si>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</si>
  <si>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</si>
  <si>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</si>
  <si>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</si>
  <si>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</si>
  <si>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</si>
  <si>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</si>
  <si>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</si>
  <si>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</si>
  <si>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</si>
  <si>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</si>
  <si>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</si>
  <si>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</si>
  <si>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</si>
  <si>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</si>
  <si>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</si>
  <si>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</si>
  <si>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</si>
  <si>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</si>
  <si>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</si>
  <si>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</si>
  <si>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</si>
  <si>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</si>
  <si>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</si>
  <si>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</si>
  <si>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</si>
  <si>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</si>
  <si>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</si>
  <si>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</si>
  <si>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</si>
  <si>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</si>
  <si>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</si>
  <si>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</si>
  <si>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</si>
  <si>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</si>
  <si>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</si>
  <si>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</si>
  <si>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</si>
  <si>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</si>
  <si>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</si>
  <si>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</si>
  <si>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</si>
  <si>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</si>
  <si>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</si>
  <si>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</si>
  <si>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</si>
  <si>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</si>
  <si>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</si>
  <si>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</si>
  <si>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</si>
  <si>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</si>
  <si>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</si>
  <si>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</si>
  <si>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</si>
  <si>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</si>
  <si>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</si>
  <si>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</si>
  <si>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</si>
  <si>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</si>
  <si>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</si>
  <si>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</si>
  <si>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</si>
  <si>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</si>
  <si>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</si>
  <si>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</si>
  <si>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</si>
  <si>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</si>
  <si>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</si>
  <si>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</si>
  <si>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</si>
  <si>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</si>
  <si>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</si>
  <si>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</si>
  <si>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</si>
  <si>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</si>
  <si>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</si>
  <si>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</si>
  <si>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</si>
  <si>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</si>
  <si>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</si>
  <si>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</si>
  <si>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</si>
  <si>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</si>
  <si>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</si>
  <si>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</si>
  <si>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</si>
  <si>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</si>
  <si>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</si>
  <si>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</si>
  <si>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</si>
  <si>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</si>
  <si>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</si>
  <si>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</si>
  <si>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</si>
  <si>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</si>
  <si>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</si>
  <si>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</si>
  <si>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</si>
  <si>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</si>
  <si>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</si>
  <si>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</si>
  <si>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</si>
  <si>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</si>
  <si>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</si>
  <si>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</si>
  <si>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</si>
  <si>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</si>
  <si>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</si>
  <si>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</si>
  <si>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</si>
  <si>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</si>
  <si>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</si>
  <si>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</si>
  <si>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</si>
  <si>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</si>
  <si>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</si>
  <si>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</si>
  <si>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</si>
  <si>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</si>
  <si>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</si>
  <si>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</si>
  <si>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</si>
  <si>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</si>
  <si>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</si>
  <si>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</si>
  <si>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</si>
  <si>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</si>
  <si>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</si>
  <si>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</si>
  <si>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</si>
  <si>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</si>
  <si>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</si>
  <si>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</si>
  <si>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</si>
  <si>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</si>
  <si>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</si>
  <si>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</si>
  <si>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</si>
  <si>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</si>
  <si>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</si>
  <si>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</si>
  <si>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</si>
  <si>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</si>
  <si>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</si>
  <si>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</si>
  <si>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</si>
  <si>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</si>
  <si>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</si>
  <si>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</si>
  <si>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</si>
  <si>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</si>
  <si>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</si>
  <si>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</si>
  <si>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</si>
  <si>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</si>
  <si>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</si>
  <si>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</si>
  <si>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</si>
  <si>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</si>
  <si>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</si>
  <si>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</si>
  <si>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</si>
  <si>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</si>
  <si>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</si>
  <si>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</si>
  <si>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</si>
  <si>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</si>
  <si>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</si>
  <si>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</si>
  <si>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</si>
  <si>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</si>
  <si>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</si>
  <si>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</si>
  <si>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</si>
  <si>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</si>
  <si>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</si>
  <si>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</si>
  <si>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</si>
  <si>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</si>
  <si>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</si>
  <si>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</si>
  <si>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</si>
  <si>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</si>
  <si>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</si>
  <si>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</si>
  <si>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</si>
  <si>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</si>
  <si>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</si>
  <si>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</si>
  <si>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</si>
  <si>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</si>
  <si>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</si>
  <si>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</si>
  <si>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</si>
  <si>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</si>
  <si>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</si>
  <si>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</si>
  <si>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</si>
  <si>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</si>
  <si>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</si>
  <si>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</si>
  <si>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</si>
  <si>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</si>
  <si>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</si>
  <si>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</si>
  <si>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</si>
  <si>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</si>
  <si>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</si>
  <si>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</si>
  <si>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</si>
  <si>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</si>
  <si>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</si>
  <si>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</si>
  <si>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</si>
  <si>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</si>
  <si>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</si>
  <si>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</si>
  <si>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</si>
  <si>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</si>
  <si>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</si>
  <si>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</si>
  <si>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</si>
  <si>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</si>
  <si>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</si>
  <si>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</si>
  <si>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</si>
  <si>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</si>
  <si>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</si>
  <si>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</si>
  <si>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</si>
  <si>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</si>
  <si>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</si>
  <si>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</si>
  <si>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</si>
  <si>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</si>
  <si>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</si>
  <si>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</si>
  <si>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</si>
  <si>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</si>
  <si>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</si>
  <si>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</si>
  <si>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</si>
  <si>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</si>
  <si>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</si>
  <si>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</si>
  <si>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</si>
  <si>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</si>
  <si>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</si>
  <si>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</si>
  <si>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</si>
  <si>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</si>
  <si>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</si>
  <si>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</si>
  <si>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</si>
  <si>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</si>
  <si>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</si>
  <si>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</si>
  <si>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</si>
  <si>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</si>
  <si>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</si>
  <si>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</si>
  <si>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</si>
  <si>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</si>
  <si>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</si>
  <si>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</si>
  <si>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</si>
  <si>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</si>
  <si>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</si>
  <si>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</si>
  <si>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</si>
  <si>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</si>
  <si>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</si>
  <si>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</si>
  <si>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</si>
  <si>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</si>
  <si>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</si>
  <si>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</si>
  <si>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</si>
  <si>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</si>
  <si>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</si>
  <si>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</si>
  <si>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</si>
  <si>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</si>
  <si>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</si>
  <si>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</si>
  <si>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</si>
  <si>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</si>
  <si>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</si>
  <si>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</si>
  <si>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</si>
  <si>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</si>
  <si>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</si>
  <si>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</si>
  <si>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</si>
  <si>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</si>
  <si>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</si>
  <si>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</si>
  <si>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</si>
  <si>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</si>
  <si>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</si>
  <si>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</si>
  <si>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</si>
  <si>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</si>
  <si>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</si>
  <si>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</si>
  <si>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</si>
  <si>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</si>
  <si>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</si>
  <si>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</si>
  <si>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</si>
  <si>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</si>
  <si>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</si>
  <si>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</si>
  <si>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</si>
  <si>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</si>
  <si>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</si>
  <si>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</si>
  <si>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</si>
  <si>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</si>
  <si>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</si>
  <si>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</si>
  <si>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</si>
  <si>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</si>
  <si>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</si>
  <si>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</si>
  <si>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</si>
  <si>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</si>
  <si>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</si>
  <si>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</si>
  <si>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</si>
  <si>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</si>
  <si>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</si>
  <si>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</si>
  <si>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</si>
  <si>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</si>
  <si>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</si>
  <si>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</si>
  <si>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</si>
  <si>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</si>
  <si>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</si>
  <si>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</si>
  <si>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</si>
  <si>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</si>
  <si>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</si>
  <si>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</si>
  <si>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</si>
  <si>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</si>
  <si>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</si>
  <si>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</si>
  <si>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</si>
  <si>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</si>
  <si>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</si>
  <si>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</si>
  <si>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</si>
  <si>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</si>
  <si>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</si>
  <si>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</si>
  <si>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</si>
  <si>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</si>
  <si>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</si>
  <si>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</si>
  <si>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</si>
  <si>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</si>
  <si>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</si>
  <si>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</si>
  <si>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</si>
  <si>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</si>
  <si>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</si>
  <si>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</si>
  <si>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</si>
  <si>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</si>
  <si>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</si>
  <si>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</si>
  <si>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</si>
  <si>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</si>
  <si>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</si>
  <si>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</si>
  <si>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</si>
  <si>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</si>
  <si>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</si>
  <si>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</si>
  <si>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</si>
  <si>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</si>
  <si>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</si>
  <si>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</si>
  <si>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</si>
  <si>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</si>
  <si>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</si>
  <si>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</si>
  <si>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</si>
  <si>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</si>
  <si>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</si>
  <si>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</si>
  <si>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</si>
  <si>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</si>
  <si>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</si>
  <si>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</si>
  <si>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</si>
  <si>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</si>
  <si>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</si>
  <si>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</si>
  <si>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</si>
  <si>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</si>
  <si>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</si>
  <si>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</si>
  <si>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</si>
  <si>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</si>
  <si>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</si>
  <si>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</si>
  <si>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</si>
  <si>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</si>
  <si>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</si>
  <si>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</si>
  <si>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</si>
  <si>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</si>
  <si>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</si>
  <si>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</si>
  <si>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</si>
  <si>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</si>
  <si>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</si>
  <si>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</si>
  <si>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</si>
  <si>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</si>
  <si>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</si>
  <si>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</si>
  <si>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</si>
  <si>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</si>
  <si>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</si>
  <si>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</si>
  <si>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</si>
  <si>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</si>
  <si>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</si>
  <si>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</si>
  <si>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</si>
  <si>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</si>
  <si>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</si>
  <si>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</si>
  <si>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</si>
  <si>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</si>
  <si>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</si>
  <si>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</si>
  <si>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</si>
  <si>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</si>
  <si>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</si>
  <si>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</si>
  <si>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</si>
  <si>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</si>
  <si>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</si>
  <si>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</si>
  <si>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</si>
  <si>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</si>
  <si>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</si>
  <si>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</si>
  <si>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</si>
  <si>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</si>
  <si>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</si>
  <si>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</si>
  <si>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</si>
  <si>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</si>
  <si>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</si>
  <si>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</si>
  <si>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</si>
  <si>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</si>
  <si>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</si>
  <si>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</si>
  <si>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</si>
  <si>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</si>
  <si>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</si>
  <si>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</si>
  <si>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</si>
  <si>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</si>
  <si>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</si>
  <si>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</si>
  <si>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</si>
  <si>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</si>
  <si>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</si>
  <si>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</si>
  <si>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</si>
  <si>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</si>
  <si>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</si>
  <si>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</si>
  <si>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</si>
  <si>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</si>
  <si>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</si>
  <si>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</si>
  <si>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</si>
  <si>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</si>
  <si>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</si>
  <si>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</si>
  <si>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</si>
  <si>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</si>
  <si>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</si>
  <si>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</si>
  <si>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</si>
  <si>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</si>
  <si>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</si>
  <si>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</si>
  <si>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</si>
  <si>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</si>
  <si>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</si>
  <si>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</si>
  <si>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</si>
  <si>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</si>
  <si>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</si>
  <si>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</si>
  <si>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</si>
  <si>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</si>
  <si>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</si>
  <si>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</si>
  <si>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</si>
  <si>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</si>
  <si>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</si>
  <si>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</si>
  <si>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</si>
  <si>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</si>
  <si>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</si>
  <si>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</si>
  <si>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</si>
  <si>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</si>
  <si>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</si>
  <si>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</si>
  <si>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</si>
  <si>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</si>
  <si>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</si>
  <si>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</si>
  <si>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</si>
  <si>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</si>
  <si>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</si>
  <si>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</si>
  <si>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</si>
  <si>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</si>
  <si>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</si>
  <si>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</si>
  <si>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</si>
  <si>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</si>
  <si>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</si>
  <si>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</si>
  <si>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</si>
  <si>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</si>
  <si>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</si>
  <si>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</si>
  <si>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</si>
  <si>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</si>
  <si>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</si>
  <si>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</si>
  <si>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</si>
  <si>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</si>
  <si>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</si>
  <si>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</si>
  <si>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</si>
  <si>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</si>
  <si>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</si>
  <si>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</si>
  <si>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</si>
  <si>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</si>
  <si>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</si>
  <si>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</si>
  <si>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</si>
  <si>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</si>
  <si>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</si>
  <si>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</si>
  <si>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</si>
  <si>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</si>
  <si>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</si>
  <si>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</si>
  <si>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</si>
  <si>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</si>
  <si>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</si>
  <si>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</si>
  <si>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</si>
  <si>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</si>
  <si>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</si>
  <si>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</si>
  <si>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</si>
  <si>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</si>
  <si>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</si>
  <si>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</si>
  <si>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</si>
  <si>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</si>
  <si>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</si>
  <si>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</si>
  <si>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</si>
  <si>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</si>
  <si>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</si>
  <si>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</si>
  <si>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</si>
  <si>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</si>
  <si>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</si>
  <si>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</si>
  <si>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</si>
  <si>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</si>
  <si>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</si>
  <si>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</si>
  <si>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</si>
  <si>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</si>
  <si>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</si>
  <si>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</si>
  <si>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</si>
  <si>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</si>
  <si>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</si>
  <si>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</si>
  <si>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</si>
  <si>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</si>
  <si>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</si>
  <si>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</si>
  <si>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</si>
  <si>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</si>
  <si>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</si>
  <si>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</si>
  <si>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</si>
  <si>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</si>
  <si>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</si>
  <si>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</si>
  <si>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</si>
  <si>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</si>
  <si>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</si>
  <si>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</si>
  <si>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</si>
  <si>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</si>
  <si>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</si>
  <si>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</si>
  <si>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</si>
  <si>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</si>
  <si>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</si>
  <si>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</si>
  <si>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</si>
  <si>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</si>
  <si>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</si>
  <si>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</si>
  <si>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</si>
  <si>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</si>
  <si>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</si>
  <si>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</si>
  <si>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</si>
  <si>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</si>
  <si>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</si>
  <si>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</si>
  <si>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</si>
  <si>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</si>
  <si>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</si>
  <si>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</si>
  <si>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</si>
  <si>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</si>
  <si>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</si>
  <si>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</si>
  <si>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</si>
  <si>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</si>
  <si>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</si>
  <si>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</si>
  <si>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</si>
  <si>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</si>
  <si>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</si>
  <si>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</si>
  <si>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</si>
  <si>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</si>
  <si>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</si>
  <si>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</si>
  <si>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</si>
  <si>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</si>
  <si>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</si>
  <si>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</si>
  <si>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</si>
  <si>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</si>
  <si>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</si>
  <si>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</si>
  <si>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</si>
  <si>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</si>
  <si>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</si>
  <si>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</si>
  <si>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</si>
  <si>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</si>
  <si>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</si>
  <si>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</si>
  <si>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</si>
  <si>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</si>
  <si>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</si>
  <si>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</si>
  <si>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</si>
  <si>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</si>
  <si>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</si>
  <si>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</si>
  <si>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</si>
  <si>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</si>
  <si>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</si>
  <si>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</si>
  <si>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</si>
  <si>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</si>
  <si>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</si>
  <si>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</si>
  <si>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</si>
  <si>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</si>
  <si>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</si>
  <si>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</si>
  <si>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</si>
  <si>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</si>
  <si>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</si>
  <si>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</si>
  <si>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</si>
  <si>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</si>
  <si>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</si>
  <si>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</si>
  <si>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</si>
  <si>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</si>
  <si>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</si>
  <si>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</si>
  <si>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</si>
  <si>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</si>
  <si>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</si>
  <si>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</si>
  <si>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</si>
  <si>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</si>
  <si>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</si>
  <si>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</si>
  <si>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</si>
  <si>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</si>
  <si>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</si>
  <si>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</si>
  <si>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</si>
  <si>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</si>
  <si>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</si>
  <si>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</si>
  <si>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</si>
  <si>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</si>
  <si>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</si>
  <si>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</si>
  <si>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</si>
  <si>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</si>
  <si>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</si>
  <si>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</si>
  <si>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</si>
  <si>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</si>
  <si>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</si>
  <si>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</si>
  <si>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</si>
  <si>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</si>
  <si>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</si>
  <si>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</si>
  <si>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</si>
  <si>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</si>
  <si>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</si>
  <si>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</si>
  <si>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</si>
  <si>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</si>
  <si>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</si>
  <si>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</si>
  <si>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</si>
  <si>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</si>
  <si>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</si>
  <si>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</si>
  <si>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</si>
  <si>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</si>
  <si>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</si>
  <si>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</si>
  <si>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</si>
  <si>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</si>
  <si>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</si>
  <si>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</si>
  <si>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</si>
  <si>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</si>
  <si>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</si>
  <si>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</si>
  <si>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</si>
  <si>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</si>
  <si>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</si>
  <si>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</si>
  <si>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</si>
  <si>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</si>
  <si>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</si>
  <si>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</si>
  <si>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</si>
  <si>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</si>
  <si>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</si>
  <si>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</si>
  <si>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</si>
  <si>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</si>
  <si>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</si>
  <si>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</si>
  <si>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</si>
  <si>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</si>
  <si>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</si>
  <si>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</si>
  <si>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</si>
  <si>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</si>
  <si>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</si>
  <si>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</si>
  <si>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</si>
  <si>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</si>
  <si>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</si>
  <si>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</si>
  <si>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</si>
  <si>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</si>
  <si>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</si>
  <si>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</si>
  <si>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</si>
  <si>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</si>
  <si>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</si>
  <si>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</si>
  <si>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</si>
  <si>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</si>
  <si>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</si>
  <si>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</si>
  <si>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</si>
  <si>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</si>
  <si>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</si>
  <si>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</si>
  <si>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</si>
  <si>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</si>
  <si>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</si>
  <si>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</si>
  <si>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</si>
  <si>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</si>
  <si>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</si>
  <si>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</si>
  <si>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</si>
  <si>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</si>
  <si>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</si>
  <si>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</si>
  <si>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</si>
  <si>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</si>
  <si>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</si>
  <si>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</si>
  <si>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</si>
  <si>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</si>
  <si>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</si>
  <si>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</si>
  <si>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</si>
  <si>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</si>
  <si>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</si>
  <si>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</si>
  <si>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</si>
  <si>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</si>
  <si>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</si>
  <si>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</si>
  <si>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</si>
  <si>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</si>
  <si>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</si>
  <si>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</si>
  <si>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</si>
  <si>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</si>
  <si>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</si>
  <si>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</si>
  <si>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</si>
  <si>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</si>
  <si>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</si>
  <si>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</si>
  <si>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</si>
  <si>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</si>
  <si>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</si>
  <si>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</si>
  <si>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</si>
  <si>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</si>
  <si>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</si>
  <si>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</si>
  <si>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</si>
  <si>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</si>
  <si>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</si>
  <si>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</si>
  <si>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</si>
  <si>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</si>
  <si>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</si>
  <si>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</si>
  <si>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</si>
  <si>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</si>
  <si>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</si>
  <si>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</si>
  <si>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</si>
  <si>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</si>
  <si>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</si>
  <si>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</si>
  <si>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</si>
  <si>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</si>
  <si>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</si>
  <si>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</si>
  <si>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</si>
  <si>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</si>
  <si>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</si>
  <si>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</si>
  <si>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</si>
  <si>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</si>
  <si>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</si>
  <si>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</si>
  <si>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</si>
  <si>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</si>
  <si>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</si>
  <si>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</si>
  <si>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</si>
  <si>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</si>
  <si>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</si>
  <si>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</si>
  <si>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</si>
  <si>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</si>
  <si>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</si>
  <si>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</si>
  <si>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</si>
  <si>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</si>
  <si>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</si>
  <si>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</si>
  <si>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</si>
  <si>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</si>
  <si>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</si>
  <si>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</si>
  <si>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</si>
  <si>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</si>
  <si>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</si>
  <si>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</si>
  <si>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</si>
  <si>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</si>
  <si>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</si>
  <si>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</si>
  <si>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</si>
  <si>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</si>
  <si>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</si>
  <si>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</si>
  <si>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</si>
  <si>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</si>
  <si>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</si>
  <si>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</si>
  <si>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</si>
  <si>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</si>
  <si>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</si>
  <si>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</si>
  <si>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</si>
  <si>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</si>
  <si>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</si>
  <si>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</si>
  <si>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</si>
  <si>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</si>
  <si>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</si>
  <si>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</si>
  <si>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</si>
  <si>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</si>
  <si>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</si>
  <si>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</si>
  <si>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</si>
  <si>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</si>
  <si>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</si>
  <si>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</si>
  <si>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</si>
  <si>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</si>
  <si>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</si>
  <si>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</si>
  <si>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</si>
  <si>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</si>
  <si>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</si>
  <si>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</si>
  <si>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</si>
  <si>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</si>
  <si>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</si>
  <si>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</si>
  <si>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</si>
  <si>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</si>
  <si>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</si>
  <si>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</si>
  <si>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</si>
  <si>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</si>
  <si>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</si>
  <si>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</si>
  <si>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</si>
  <si>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</si>
  <si>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</si>
  <si>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</si>
  <si>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</si>
  <si>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</si>
  <si>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</si>
  <si>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</si>
  <si>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</si>
  <si>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</si>
  <si>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</si>
  <si>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</si>
  <si>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</si>
  <si>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</si>
  <si>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</si>
  <si>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</si>
  <si>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</si>
  <si>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</si>
  <si>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</si>
  <si>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</si>
  <si>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</si>
  <si>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</si>
  <si>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</si>
  <si>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</si>
  <si>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</si>
  <si>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</si>
  <si>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</si>
  <si>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</si>
  <si>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</si>
  <si>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</si>
  <si>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</si>
  <si>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</si>
  <si>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</si>
  <si>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</si>
  <si>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</si>
  <si>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</si>
  <si>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</si>
  <si>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</si>
  <si>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</si>
  <si>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</si>
  <si>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</si>
  <si>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</si>
  <si>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</si>
  <si>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</si>
  <si>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</si>
  <si>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</si>
  <si>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</si>
  <si>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</si>
  <si>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</si>
  <si>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</si>
  <si>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</si>
  <si>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</si>
  <si>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</si>
  <si>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</si>
  <si>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</si>
  <si>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</si>
  <si>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</si>
  <si>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</si>
  <si>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</si>
  <si>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</si>
  <si>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</si>
  <si>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</si>
  <si>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</si>
  <si>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</si>
  <si>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</si>
  <si>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</si>
  <si>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</si>
  <si>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</si>
  <si>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</si>
  <si>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</si>
  <si>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</si>
  <si>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</si>
  <si>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</si>
  <si>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</si>
  <si>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</si>
  <si>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</si>
  <si>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</si>
  <si>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</si>
  <si>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</si>
  <si>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</si>
  <si>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</si>
  <si>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</si>
  <si>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</si>
  <si>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</si>
  <si>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</si>
  <si>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</si>
  <si>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</si>
  <si>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</si>
  <si>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</si>
  <si>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</si>
  <si>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</si>
  <si>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</si>
  <si>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</si>
  <si>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</si>
  <si>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</si>
  <si>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</si>
  <si>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</si>
  <si>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</si>
  <si>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</si>
  <si>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</si>
  <si>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</si>
  <si>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</si>
  <si>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</si>
  <si>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</si>
  <si>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</si>
  <si>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</si>
  <si>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</si>
  <si>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</si>
  <si>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</si>
  <si>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</si>
  <si>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</si>
  <si>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</si>
  <si>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</si>
  <si>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</si>
  <si>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</si>
  <si>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</si>
  <si>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</si>
  <si>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</si>
  <si>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</si>
  <si>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</si>
  <si>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</si>
  <si>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</si>
  <si>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</si>
  <si>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</si>
  <si>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</si>
  <si>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</si>
  <si>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</si>
  <si>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</si>
  <si>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</si>
  <si>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</si>
  <si>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</si>
  <si>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</si>
  <si>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</si>
  <si>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</si>
  <si>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</si>
  <si>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</si>
  <si>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</si>
  <si>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</si>
  <si>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</si>
  <si>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</si>
  <si>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</si>
  <si>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</si>
  <si>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</si>
  <si>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</si>
  <si>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</si>
  <si>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</si>
  <si>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</si>
  <si>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</si>
  <si>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</si>
  <si>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</si>
  <si>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</si>
  <si>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</si>
  <si>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</si>
  <si>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</si>
  <si>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</si>
  <si>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</si>
  <si>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</si>
  <si>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</si>
  <si>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</si>
  <si>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</si>
  <si>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</si>
  <si>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</si>
  <si>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</si>
  <si>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</si>
  <si>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</si>
  <si>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</si>
  <si>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</si>
  <si>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</si>
  <si>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</si>
  <si>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</si>
  <si>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</si>
  <si>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</si>
  <si>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</si>
  <si>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</si>
  <si>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</si>
  <si>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</si>
  <si>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</si>
  <si>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</si>
  <si>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</si>
  <si>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</si>
  <si>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</si>
  <si>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</si>
  <si>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</si>
  <si>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</si>
  <si>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</si>
  <si>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</si>
  <si>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</si>
  <si>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</si>
  <si>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</si>
  <si>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</si>
  <si>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</si>
  <si>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</si>
  <si>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</si>
  <si>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</si>
  <si>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</si>
  <si>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</si>
  <si>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</si>
  <si>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</si>
  <si>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</si>
  <si>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</si>
  <si>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</si>
  <si>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</si>
  <si>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</si>
  <si>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</si>
  <si>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</si>
  <si>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</si>
  <si>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</si>
  <si>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</si>
  <si>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</si>
  <si>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</si>
  <si>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</si>
  <si>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</si>
  <si>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</si>
  <si>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</si>
  <si>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</si>
  <si>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</si>
  <si>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</si>
  <si>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</si>
  <si>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</si>
  <si>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</si>
  <si>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</si>
  <si>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</si>
  <si>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</si>
  <si>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</si>
  <si>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</si>
  <si>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</si>
  <si>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</si>
  <si>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</si>
  <si>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</si>
  <si>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</si>
  <si>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</si>
  <si>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</si>
  <si>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</si>
  <si>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</si>
  <si>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</si>
  <si>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</si>
  <si>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</si>
  <si>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</si>
  <si>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</si>
  <si>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</si>
  <si>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</si>
  <si>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</si>
  <si>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</si>
  <si>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</si>
  <si>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</si>
  <si>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</si>
  <si>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</si>
  <si>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</si>
  <si>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</si>
  <si>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</si>
  <si>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</si>
  <si>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</si>
  <si>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</si>
  <si>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</si>
  <si>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</si>
  <si>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</si>
  <si>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</si>
  <si>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</si>
  <si>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</si>
  <si>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</si>
  <si>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</si>
  <si>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</si>
  <si>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</si>
  <si>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</si>
  <si>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</si>
  <si>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</si>
  <si>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</si>
  <si>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</si>
  <si>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</si>
  <si>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</si>
  <si>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</si>
  <si>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</si>
  <si>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</si>
  <si>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</si>
  <si>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</si>
  <si>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</si>
  <si>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</si>
  <si>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</si>
  <si>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</si>
  <si>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</si>
  <si>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</si>
  <si>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</si>
  <si>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</si>
  <si>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</si>
  <si>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</si>
  <si>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</si>
  <si>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</si>
  <si>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</si>
  <si>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</si>
  <si>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</si>
  <si>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</si>
  <si>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</si>
  <si>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</si>
  <si>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</si>
  <si>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</si>
  <si>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</si>
  <si>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</si>
  <si>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</si>
  <si>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</si>
  <si>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</si>
  <si>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</si>
  <si>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</si>
  <si>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</si>
  <si>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</si>
  <si>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</si>
  <si>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</si>
  <si>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</si>
  <si>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</si>
  <si>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</si>
  <si>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</si>
  <si>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</si>
  <si>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</si>
  <si>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</si>
  <si>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</si>
  <si>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</si>
  <si>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</si>
  <si>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</si>
  <si>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</si>
  <si>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</si>
  <si>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</si>
  <si>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</si>
  <si>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</si>
  <si>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</si>
  <si>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</si>
  <si>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</si>
  <si>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</si>
  <si>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</si>
  <si>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</si>
  <si>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</si>
  <si>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</si>
  <si>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</si>
  <si>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</si>
  <si>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</si>
  <si>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</si>
  <si>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</si>
  <si>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</si>
  <si>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</si>
  <si>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</si>
  <si>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</si>
  <si>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</si>
  <si>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</si>
  <si>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</si>
  <si>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</si>
  <si>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</si>
  <si>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</si>
  <si>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</si>
  <si>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</si>
  <si>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</si>
  <si>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</si>
  <si>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</si>
  <si>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</si>
  <si>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</si>
  <si>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</si>
  <si>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</si>
  <si>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</si>
  <si>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</si>
  <si>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</si>
  <si>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</si>
  <si>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</si>
  <si>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</si>
  <si>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</si>
  <si>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</si>
  <si>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</si>
  <si>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</si>
  <si>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</si>
  <si>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</si>
  <si>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</si>
  <si>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</si>
  <si>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</si>
  <si>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</si>
  <si>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</si>
  <si>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</si>
  <si>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</si>
  <si>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</si>
  <si>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</si>
  <si>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</si>
  <si>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</si>
  <si>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</si>
  <si>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</si>
  <si>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</si>
  <si>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</si>
  <si>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</si>
  <si>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</si>
  <si>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</si>
  <si>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</si>
  <si>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</si>
  <si>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</si>
  <si>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</si>
  <si>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</si>
  <si>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</si>
  <si>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</si>
  <si>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</si>
  <si>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</si>
  <si>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</si>
  <si>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</si>
  <si>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</si>
  <si>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</si>
  <si>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</si>
  <si>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</si>
  <si>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</si>
  <si>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</si>
  <si>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</si>
  <si>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</si>
  <si>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</si>
  <si>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</si>
  <si>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</si>
  <si>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</si>
  <si>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</si>
  <si>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</si>
  <si>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</si>
  <si>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</si>
  <si>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</si>
  <si>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</si>
  <si>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</si>
  <si>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</si>
  <si>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</si>
  <si>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</si>
  <si>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</si>
  <si>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</si>
  <si>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</si>
  <si>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</si>
  <si>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</si>
  <si>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</si>
  <si>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</si>
  <si>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</si>
  <si>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</si>
  <si>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</si>
  <si>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</si>
  <si>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</si>
  <si>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</si>
  <si>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</si>
  <si>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</si>
  <si>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</si>
  <si>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</si>
  <si>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</si>
  <si>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</si>
  <si>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</si>
  <si>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</si>
  <si>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</si>
  <si>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</si>
  <si>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</si>
  <si>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</si>
  <si>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</si>
  <si>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</si>
  <si>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</si>
  <si>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</si>
  <si>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</si>
  <si>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</si>
  <si>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</si>
  <si>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</si>
  <si>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</si>
  <si>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</si>
  <si>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</si>
  <si>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</si>
  <si>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</si>
  <si>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</si>
  <si>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</si>
  <si>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</si>
  <si>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</si>
  <si>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</si>
  <si>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</si>
  <si>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</si>
  <si>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</si>
  <si>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</si>
  <si>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</si>
  <si>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</si>
  <si>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</si>
  <si>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</si>
  <si>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</si>
  <si>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</si>
  <si>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</si>
  <si>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</si>
  <si>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</si>
  <si>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</si>
  <si>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</si>
  <si>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</si>
  <si>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</si>
  <si>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</si>
  <si>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</si>
  <si>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</si>
  <si>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</si>
  <si>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</si>
  <si>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</si>
  <si>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</si>
  <si>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</si>
  <si>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</si>
  <si>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</si>
  <si>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</si>
  <si>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</si>
  <si>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</si>
  <si>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</si>
  <si>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</si>
  <si>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</si>
  <si>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</si>
  <si>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</si>
  <si>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</si>
  <si>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</si>
  <si>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</si>
  <si>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</si>
  <si>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</si>
  <si>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</si>
  <si>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</si>
  <si>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</si>
  <si>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</si>
  <si>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</si>
  <si>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</si>
  <si>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</si>
  <si>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</si>
  <si>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</si>
  <si>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</si>
  <si>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</si>
  <si>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</si>
  <si>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</si>
  <si>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</si>
  <si>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</si>
  <si>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</si>
  <si>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</si>
  <si>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</si>
  <si>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</si>
  <si>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</si>
  <si>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</si>
  <si>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</si>
  <si>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</si>
  <si>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</si>
  <si>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</si>
  <si>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</si>
  <si>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</si>
  <si>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</si>
  <si>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</si>
  <si>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</si>
  <si>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</si>
  <si>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</si>
  <si>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</si>
  <si>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</si>
  <si>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</si>
  <si>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</si>
  <si>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</si>
  <si>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</si>
  <si>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</si>
  <si>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</si>
  <si>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</si>
  <si>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</si>
  <si>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</si>
  <si>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</si>
  <si>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</si>
  <si>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</si>
  <si>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</si>
  <si>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</si>
  <si>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</si>
  <si>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</si>
  <si>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</si>
  <si>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</si>
  <si>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</si>
  <si>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</si>
  <si>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</si>
  <si>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</si>
  <si>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</si>
  <si>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</si>
  <si>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</si>
  <si>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</si>
  <si>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</si>
  <si>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</si>
  <si>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</si>
  <si>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</si>
  <si>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</si>
  <si>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</si>
  <si>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</si>
  <si>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</si>
  <si>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</si>
  <si>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</si>
  <si>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</si>
  <si>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</si>
  <si>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</si>
  <si>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</si>
  <si>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</si>
  <si>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</si>
  <si>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</si>
  <si>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</si>
  <si>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</si>
  <si>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</si>
  <si>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</si>
  <si>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</si>
  <si>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</si>
  <si>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</si>
  <si>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</si>
  <si>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</si>
  <si>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</si>
  <si>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</si>
  <si>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</si>
  <si>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</si>
  <si>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</si>
  <si>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</si>
  <si>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</si>
  <si>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</si>
  <si>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</si>
  <si>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</si>
  <si>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</si>
  <si>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</si>
  <si>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</si>
  <si>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</si>
  <si>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</si>
  <si>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</si>
  <si>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</si>
  <si>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</si>
  <si>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</si>
  <si>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</si>
  <si>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</si>
  <si>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</si>
  <si>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</si>
  <si>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</si>
  <si>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</si>
  <si>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</si>
  <si>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</si>
  <si>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</si>
  <si>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</si>
  <si>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</si>
  <si>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</si>
  <si>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</si>
  <si>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</si>
  <si>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</si>
  <si>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</si>
  <si>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</si>
  <si>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</si>
  <si>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</si>
  <si>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</si>
  <si>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</si>
  <si>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</si>
  <si>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</si>
  <si>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</si>
  <si>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</si>
  <si>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</si>
  <si>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</si>
  <si>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</si>
  <si>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</si>
  <si>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</si>
  <si>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</si>
  <si>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</si>
  <si>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</si>
  <si>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</si>
  <si>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</si>
  <si>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</si>
  <si>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</si>
  <si>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</si>
  <si>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</si>
  <si>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</si>
  <si>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</si>
  <si>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</si>
  <si>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</si>
  <si>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</si>
  <si>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</si>
  <si>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</si>
  <si>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</si>
  <si>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</si>
  <si>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</si>
  <si>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</si>
  <si>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</si>
  <si>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</si>
  <si>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</si>
  <si>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</si>
  <si>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</si>
  <si>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</si>
  <si>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</si>
  <si>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</si>
  <si>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</si>
  <si>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</si>
  <si>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</si>
  <si>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</si>
  <si>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</si>
  <si>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</si>
  <si>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</si>
  <si>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</si>
  <si>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</si>
  <si>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</si>
  <si>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</si>
  <si>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</si>
  <si>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</si>
  <si>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</si>
  <si>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</si>
  <si>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</si>
  <si>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</si>
  <si>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</si>
  <si>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</si>
  <si>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</si>
  <si>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</si>
  <si>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</si>
  <si>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</si>
  <si>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</si>
  <si>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</si>
  <si>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</si>
  <si>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</si>
  <si>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</si>
  <si>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</si>
  <si>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</si>
  <si>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</si>
  <si>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</si>
  <si>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</si>
  <si>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</si>
  <si>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</si>
  <si>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</si>
  <si>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</si>
  <si>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</si>
  <si>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</si>
  <si>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</si>
  <si>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</si>
  <si>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</si>
  <si>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</si>
  <si>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</si>
  <si>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</si>
  <si>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</si>
  <si>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</si>
  <si>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</si>
  <si>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</si>
  <si>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</si>
  <si>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</si>
  <si>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</si>
  <si>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</si>
  <si>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</si>
  <si>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</si>
  <si>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</si>
  <si>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</si>
  <si>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</si>
  <si>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</si>
  <si>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</si>
  <si>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</si>
  <si>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</si>
  <si>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</si>
  <si>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</si>
  <si>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</si>
  <si>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</si>
  <si>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</si>
  <si>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</si>
  <si>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</si>
  <si>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</si>
  <si>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</si>
  <si>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</si>
  <si>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</si>
  <si>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</si>
  <si>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</si>
  <si>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</si>
  <si>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</si>
  <si>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</si>
  <si>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</si>
  <si>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</si>
  <si>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</si>
  <si>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</si>
  <si>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</si>
  <si>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</si>
  <si>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</si>
  <si>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</si>
  <si>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</si>
  <si>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</si>
  <si>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</si>
  <si>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</si>
  <si>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</si>
  <si>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</si>
  <si>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</si>
  <si>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</si>
  <si>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</si>
  <si>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</si>
  <si>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</si>
  <si>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</si>
  <si>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</si>
  <si>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</si>
  <si>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</si>
  <si>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</si>
  <si>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</si>
  <si>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</si>
  <si>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</si>
  <si>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</si>
  <si>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</si>
  <si>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</si>
  <si>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</si>
  <si>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</si>
  <si>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</si>
  <si>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</si>
  <si>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</si>
  <si>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</si>
  <si>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</si>
  <si>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</si>
  <si>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</si>
  <si>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</si>
  <si>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</si>
  <si>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</si>
  <si>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</si>
  <si>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</si>
  <si>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</si>
  <si>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</si>
  <si>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</si>
  <si>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</si>
  <si>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</si>
  <si>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</si>
  <si>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</si>
  <si>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</si>
  <si>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</si>
  <si>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</si>
  <si>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</si>
  <si>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</si>
  <si>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</si>
  <si>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</si>
  <si>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</si>
  <si>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</si>
  <si>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</si>
  <si>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</si>
  <si>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</si>
  <si>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</si>
  <si>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</si>
  <si>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</si>
  <si>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</si>
  <si>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</si>
  <si>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</si>
  <si>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</si>
  <si>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</si>
  <si>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</si>
  <si>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</si>
  <si>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</si>
  <si>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</si>
  <si>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</si>
  <si>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</si>
  <si>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</si>
  <si>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</si>
  <si>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</si>
  <si>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</si>
  <si>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</si>
  <si>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</si>
  <si>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</si>
  <si>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</si>
  <si>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</si>
  <si>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</si>
  <si>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</si>
  <si>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</si>
  <si>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</si>
  <si>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</si>
  <si>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</si>
  <si>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</si>
  <si>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</si>
  <si>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</si>
  <si>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</si>
  <si>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</si>
  <si>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</si>
  <si>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</si>
  <si>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</si>
  <si>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</si>
  <si>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</si>
  <si>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</si>
  <si>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</si>
  <si>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</si>
  <si>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</si>
  <si>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</si>
  <si>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</si>
  <si>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</si>
  <si>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</si>
  <si>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</si>
  <si>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</si>
  <si>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</si>
  <si>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</si>
  <si>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</si>
  <si>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</si>
  <si>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</si>
  <si>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</si>
  <si>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</si>
  <si>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</si>
  <si>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</si>
  <si>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</si>
  <si>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</si>
  <si>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</si>
  <si>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</si>
  <si>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</si>
  <si>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</si>
  <si>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</si>
  <si>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</si>
  <si>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</si>
  <si>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</si>
  <si>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</si>
  <si>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</si>
  <si>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</si>
  <si>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</si>
  <si>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</si>
  <si>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</si>
  <si>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</si>
  <si>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</si>
  <si>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</si>
  <si>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</si>
  <si>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</si>
  <si>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</si>
  <si>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</si>
  <si>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</si>
  <si>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</si>
  <si>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</si>
  <si>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</si>
  <si>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</si>
  <si>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</si>
  <si>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</si>
  <si>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</si>
  <si>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</si>
  <si>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</si>
  <si>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</si>
  <si>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</si>
  <si>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</si>
  <si>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</si>
  <si>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</si>
  <si>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</si>
  <si>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</si>
  <si>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</si>
  <si>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</si>
  <si>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</si>
  <si>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</si>
  <si>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</si>
  <si>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</si>
  <si>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</si>
  <si>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</si>
  <si>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</si>
  <si>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</si>
  <si>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</si>
  <si>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</si>
  <si>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</si>
  <si>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</si>
  <si>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</si>
  <si>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</si>
  <si>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</si>
  <si>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</si>
  <si>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</si>
  <si>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</si>
  <si>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</si>
  <si>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</si>
  <si>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</si>
  <si>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</si>
  <si>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</si>
  <si>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</si>
  <si>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</si>
  <si>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</si>
  <si>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</si>
  <si>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</si>
  <si>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</si>
  <si>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</si>
  <si>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</si>
  <si>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</si>
  <si>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</si>
  <si>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</si>
  <si>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</si>
  <si>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</si>
  <si>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</si>
  <si>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</si>
  <si>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</si>
  <si>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</si>
  <si>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</si>
  <si>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</si>
  <si>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</si>
  <si>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</si>
  <si>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</si>
  <si>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</si>
  <si>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</si>
  <si>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</si>
  <si>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</si>
  <si>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</si>
  <si>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</si>
  <si>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</si>
  <si>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</si>
  <si>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</si>
  <si>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</si>
  <si>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</si>
  <si>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</si>
  <si>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</si>
  <si>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</si>
  <si>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</si>
  <si>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</si>
  <si>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</si>
  <si>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</si>
  <si>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</si>
  <si>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</si>
  <si>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</si>
  <si>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</si>
  <si>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</si>
  <si>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</si>
  <si>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</si>
  <si>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</si>
  <si>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</si>
  <si>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</si>
  <si>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</si>
  <si>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</si>
  <si>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</si>
  <si>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</si>
  <si>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</si>
  <si>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</si>
  <si>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</si>
  <si>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</si>
  <si>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</si>
  <si>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</si>
  <si>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</si>
  <si>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</si>
  <si>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</si>
  <si>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</si>
  <si>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</si>
  <si>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</si>
  <si>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</si>
  <si>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</si>
  <si>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</si>
  <si>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</si>
  <si>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</si>
  <si>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</si>
  <si>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</si>
  <si>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</si>
  <si>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</si>
  <si>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</si>
  <si>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</si>
  <si>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</si>
  <si>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</si>
  <si>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</si>
  <si>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</si>
  <si>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</si>
  <si>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</si>
  <si>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</si>
  <si>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</si>
  <si>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</si>
  <si>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</si>
  <si>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</si>
  <si>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</si>
  <si>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</si>
  <si>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</si>
  <si>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</si>
  <si>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</si>
  <si>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</si>
  <si>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</si>
  <si>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</si>
  <si>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</si>
  <si>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</si>
  <si>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</si>
  <si>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</si>
  <si>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</si>
  <si>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</si>
  <si>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</si>
  <si>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</si>
  <si>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</si>
  <si>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</si>
  <si>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</si>
  <si>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</si>
  <si>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</si>
  <si>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</si>
  <si>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</si>
  <si>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</si>
  <si>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</si>
  <si>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</si>
  <si>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</si>
  <si>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</si>
  <si>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</si>
  <si>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</si>
  <si>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</si>
  <si>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</si>
  <si>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</si>
  <si>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</si>
  <si>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</si>
  <si>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</si>
  <si>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</si>
  <si>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</si>
  <si>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</si>
  <si>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</si>
  <si>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</si>
  <si>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</si>
  <si>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</si>
  <si>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</si>
  <si>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</si>
  <si>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</si>
  <si>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</si>
  <si>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</si>
  <si>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</si>
  <si>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</si>
  <si>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</si>
  <si>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</si>
  <si>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</si>
  <si>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</si>
  <si>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</si>
  <si>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</si>
  <si>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</si>
  <si>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</si>
  <si>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</si>
  <si>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</si>
  <si>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</si>
  <si>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</si>
  <si>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</si>
  <si>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</si>
  <si>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</si>
  <si>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</si>
  <si>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</si>
  <si>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</si>
  <si>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</si>
  <si>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</si>
  <si>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</si>
  <si>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</si>
  <si>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</si>
  <si>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</si>
  <si>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</si>
  <si>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</si>
  <si>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</si>
  <si>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</si>
  <si>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</si>
  <si>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</si>
  <si>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</si>
  <si>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</si>
  <si>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</si>
  <si>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</si>
  <si>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</si>
  <si>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</si>
  <si>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</si>
  <si>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</si>
  <si>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</si>
  <si>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</si>
  <si>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</si>
  <si>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</si>
  <si>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</si>
  <si>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</si>
  <si>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</si>
  <si>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</si>
  <si>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</si>
  <si>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</si>
  <si>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</si>
  <si>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</si>
  <si>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</si>
  <si>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</si>
  <si>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</si>
  <si>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</si>
  <si>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</si>
  <si>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</si>
  <si>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</si>
  <si>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</si>
  <si>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</si>
  <si>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</si>
  <si>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</si>
  <si>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</si>
  <si>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</si>
  <si>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</si>
  <si>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</si>
  <si>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</si>
  <si>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</si>
  <si>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</si>
  <si>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</si>
  <si>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</si>
  <si>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</si>
  <si>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</si>
  <si>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</si>
  <si>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</si>
  <si>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</si>
  <si>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</si>
  <si>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</si>
  <si>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</si>
  <si>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</si>
  <si>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</si>
  <si>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</si>
  <si>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</si>
  <si>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</si>
  <si>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</si>
  <si>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</si>
  <si>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</si>
  <si>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</si>
  <si>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</si>
  <si>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</si>
  <si>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</si>
  <si>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</si>
  <si>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</si>
  <si>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</si>
  <si>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</si>
  <si>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</si>
  <si>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</si>
  <si>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</si>
  <si>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</si>
  <si>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</si>
  <si>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</si>
  <si>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</si>
  <si>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</si>
  <si>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</si>
  <si>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</si>
  <si>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</si>
  <si>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</si>
  <si>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</si>
  <si>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</si>
  <si>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</si>
  <si>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</si>
  <si>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</si>
  <si>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</si>
  <si>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</si>
  <si>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</si>
  <si>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</si>
  <si>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</si>
  <si>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</si>
  <si>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</si>
  <si>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</si>
  <si>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</si>
  <si>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</si>
  <si>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</si>
  <si>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</si>
  <si>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</si>
  <si>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</si>
  <si>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</si>
  <si>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</si>
  <si>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</si>
  <si>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</si>
  <si>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</si>
  <si>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</si>
  <si>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</si>
  <si>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</si>
  <si>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</si>
  <si>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</si>
  <si>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</si>
  <si>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</si>
  <si>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</si>
  <si>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</si>
  <si>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</si>
  <si>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</si>
  <si>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</si>
  <si>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</si>
  <si>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</si>
  <si>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</si>
  <si>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</si>
  <si>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</si>
  <si>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</si>
  <si>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</si>
  <si>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</si>
  <si>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</si>
  <si>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</si>
  <si>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</si>
  <si>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</si>
  <si>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</si>
  <si>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</si>
  <si>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</si>
  <si>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</si>
  <si>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</si>
  <si>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</si>
  <si>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</si>
  <si>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</si>
  <si>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</si>
  <si>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</si>
  <si>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</si>
  <si>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</si>
  <si>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</si>
  <si>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</si>
  <si>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</si>
  <si>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</si>
  <si>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</si>
  <si>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</si>
  <si>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</si>
  <si>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</si>
  <si>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</si>
  <si>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</si>
  <si>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</si>
  <si>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</si>
  <si>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</si>
  <si>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</si>
  <si>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</si>
  <si>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</si>
  <si>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</si>
  <si>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</si>
  <si>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</si>
  <si>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</si>
  <si>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</si>
  <si>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</si>
  <si>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</si>
  <si>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</si>
  <si>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</si>
  <si>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</si>
  <si>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</si>
  <si>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</si>
  <si>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</si>
  <si>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</si>
  <si>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</si>
  <si>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</si>
  <si>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</si>
  <si>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</si>
  <si>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</si>
  <si>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</si>
  <si>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</si>
  <si>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</si>
  <si>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</si>
  <si>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</si>
  <si>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</si>
  <si>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</si>
  <si>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</si>
  <si>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</si>
  <si>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</si>
  <si>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</si>
  <si>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</si>
  <si>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</si>
  <si>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</si>
  <si>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</si>
  <si>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</si>
  <si>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</si>
  <si>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</si>
  <si>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</si>
  <si>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</si>
  <si>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</si>
  <si>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</si>
  <si>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</si>
  <si>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</si>
  <si>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</si>
  <si>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</si>
  <si>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</si>
  <si>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</si>
  <si>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</si>
  <si>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</si>
  <si>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</si>
  <si>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</si>
  <si>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</si>
  <si>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</si>
  <si>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</si>
  <si>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</si>
  <si>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</si>
  <si>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</si>
  <si>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</si>
  <si>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</si>
  <si>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</si>
  <si>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</si>
  <si>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</si>
  <si>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</si>
  <si>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</si>
  <si>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</si>
  <si>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</si>
  <si>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</si>
  <si>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</si>
  <si>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</si>
  <si>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</si>
  <si>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</si>
  <si>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</si>
  <si>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</si>
  <si>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</si>
  <si>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</si>
  <si>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</si>
  <si>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</si>
  <si>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</si>
  <si>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</si>
  <si>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</si>
  <si>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</si>
  <si>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</si>
  <si>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</si>
  <si>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</si>
  <si>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</si>
  <si>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</si>
  <si>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</si>
  <si>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</si>
  <si>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</si>
  <si>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</si>
  <si>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</si>
  <si>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</si>
  <si>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</si>
  <si>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</si>
  <si>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</si>
  <si>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</si>
  <si>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</si>
  <si>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</si>
  <si>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</si>
  <si>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</si>
  <si>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</si>
  <si>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</si>
  <si>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</si>
  <si>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</si>
  <si>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</si>
  <si>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</si>
  <si>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</si>
  <si>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</si>
  <si>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</si>
  <si>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</si>
  <si>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</si>
  <si>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</si>
  <si>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</si>
  <si>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</si>
  <si>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</si>
  <si>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</si>
  <si>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</si>
  <si>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</si>
  <si>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</si>
  <si>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</si>
  <si>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</si>
  <si>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</si>
  <si>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</si>
  <si>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</si>
  <si>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</si>
  <si>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</si>
  <si>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</si>
  <si>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</si>
  <si>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</si>
  <si>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</si>
  <si>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</si>
  <si>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</si>
  <si>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</si>
  <si>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</si>
  <si>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</si>
  <si>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</si>
  <si>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</si>
  <si>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</si>
  <si>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</si>
  <si>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</si>
  <si>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</si>
  <si>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</si>
  <si>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</si>
  <si>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</si>
  <si>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</si>
  <si>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</si>
  <si>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</si>
  <si>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</si>
  <si>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</si>
  <si>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</si>
  <si>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</si>
  <si>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</si>
  <si>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</si>
  <si>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</si>
  <si>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</si>
  <si>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</si>
  <si>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</si>
  <si>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</si>
  <si>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</si>
  <si>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</si>
  <si>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</si>
  <si>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</si>
  <si>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</si>
  <si>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</si>
  <si>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</si>
  <si>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</si>
  <si>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</si>
  <si>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</si>
  <si>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</si>
  <si>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</si>
  <si>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</si>
  <si>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</si>
  <si>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</si>
  <si>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</si>
  <si>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</si>
  <si>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</si>
  <si>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</si>
  <si>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</si>
  <si>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</si>
  <si>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</si>
  <si>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</si>
  <si>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</si>
  <si>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</si>
  <si>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</si>
  <si>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</si>
  <si>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</si>
  <si>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</si>
  <si>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</si>
  <si>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</si>
  <si>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</si>
  <si>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</si>
  <si>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</si>
  <si>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</si>
  <si>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</si>
  <si>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</si>
  <si>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</si>
  <si>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</si>
  <si>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</si>
  <si>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</si>
  <si>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</si>
  <si>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</si>
  <si>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</si>
  <si>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</si>
  <si>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</si>
  <si>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</si>
  <si>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</si>
  <si>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</si>
  <si>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</si>
  <si>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</si>
  <si>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</si>
  <si>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</si>
  <si>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</si>
  <si>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</si>
  <si>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</si>
  <si>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</si>
  <si>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</si>
  <si>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</si>
  <si>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</si>
  <si>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</si>
  <si>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</si>
  <si>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</si>
  <si>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</si>
  <si>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</si>
  <si>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</si>
  <si>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</si>
  <si>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</si>
  <si>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</si>
  <si>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</si>
  <si>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</si>
  <si>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</si>
  <si>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</si>
  <si>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</si>
  <si>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</si>
  <si>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</si>
  <si>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</si>
  <si>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</si>
  <si>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</si>
  <si>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</si>
  <si>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</si>
  <si>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</si>
  <si>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</si>
  <si>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</si>
  <si>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</si>
  <si>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</si>
  <si>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</si>
  <si>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</si>
  <si>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</si>
  <si>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</si>
  <si>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</si>
  <si>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</si>
  <si>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</si>
  <si>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</si>
  <si>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</si>
  <si>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</si>
  <si>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</si>
  <si>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</si>
  <si>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</si>
  <si>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</si>
  <si>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</si>
  <si>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</si>
  <si>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</si>
  <si>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</si>
  <si>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</si>
  <si>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</si>
  <si>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</si>
  <si>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</si>
  <si>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</si>
  <si>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</si>
  <si>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</si>
  <si>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</si>
  <si>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</si>
  <si>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</si>
  <si>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</si>
  <si>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</si>
  <si>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</si>
  <si>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</si>
  <si>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</si>
  <si>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</si>
  <si>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</si>
  <si>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</si>
  <si>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</si>
  <si>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</si>
  <si>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</si>
  <si>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</si>
  <si>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</si>
  <si>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</si>
  <si>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</si>
  <si>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</si>
  <si>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</si>
  <si>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</si>
  <si>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</si>
  <si>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</si>
  <si>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</si>
  <si>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</si>
  <si>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</si>
  <si>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</si>
  <si>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</si>
  <si>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</si>
  <si>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</si>
  <si>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</si>
  <si>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</si>
  <si>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</si>
  <si>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</si>
  <si>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</si>
  <si>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</si>
  <si>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</si>
  <si>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</si>
  <si>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</si>
  <si>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</si>
  <si>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</si>
  <si>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</si>
  <si>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</si>
  <si>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</si>
  <si>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</si>
  <si>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</si>
  <si>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</si>
  <si>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</si>
  <si>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</si>
  <si>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</si>
  <si>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</si>
  <si>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</si>
  <si>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</si>
  <si>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</si>
  <si>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</si>
  <si>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</si>
  <si>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</si>
  <si>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</si>
  <si>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</si>
  <si>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</si>
  <si>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</si>
  <si>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</si>
  <si>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</si>
  <si>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</si>
  <si>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</si>
  <si>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</si>
  <si>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</si>
  <si>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</si>
  <si>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</si>
  <si>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</si>
  <si>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</si>
  <si>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</si>
  <si>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</si>
  <si>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</si>
  <si>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</si>
  <si>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</si>
  <si>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</si>
  <si>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</si>
  <si>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</si>
  <si>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</si>
  <si>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</si>
  <si>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</si>
  <si>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</si>
  <si>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</si>
  <si>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</si>
  <si>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</si>
  <si>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</si>
  <si>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</si>
  <si>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</si>
  <si>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</si>
  <si>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</si>
  <si>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</si>
  <si>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</si>
  <si>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</si>
  <si>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</si>
  <si>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</si>
  <si>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</si>
  <si>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</si>
  <si>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</si>
  <si>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</si>
  <si>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</si>
  <si>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</si>
  <si>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</si>
  <si>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</si>
  <si>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</si>
  <si>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</si>
  <si>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</si>
  <si>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</si>
  <si>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</si>
  <si>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</si>
  <si>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</si>
  <si>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</si>
  <si>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</si>
  <si>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</si>
  <si>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</si>
  <si>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</si>
  <si>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</si>
  <si>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</si>
  <si>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</si>
  <si>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</si>
  <si>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</si>
  <si>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</si>
  <si>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</si>
  <si>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</si>
  <si>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</si>
  <si>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</si>
  <si>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</si>
  <si>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</si>
  <si>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</si>
  <si>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</si>
  <si>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</si>
  <si>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</si>
  <si>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</si>
  <si>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</si>
  <si>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</si>
  <si>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</si>
  <si>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</si>
  <si>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</si>
  <si>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</si>
  <si>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</si>
  <si>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</si>
  <si>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</si>
  <si>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</si>
  <si>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</si>
  <si>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</si>
  <si>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</si>
  <si>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</si>
  <si>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</si>
  <si>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</si>
  <si>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</si>
  <si>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</si>
  <si>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</si>
  <si>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</si>
  <si>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</si>
  <si>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</si>
  <si>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</si>
  <si>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</si>
  <si>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</si>
  <si>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</si>
  <si>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</si>
  <si>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</si>
  <si>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</si>
  <si>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</si>
  <si>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</si>
  <si>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</si>
  <si>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</si>
  <si>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</si>
  <si>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</si>
  <si>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</si>
  <si>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</si>
  <si>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</si>
  <si>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</si>
  <si>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</si>
  <si>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</si>
  <si>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</si>
  <si>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</si>
  <si>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</si>
  <si>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</si>
  <si>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</si>
  <si>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</si>
  <si>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</si>
  <si>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</si>
  <si>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</si>
  <si>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</si>
  <si>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</si>
  <si>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</si>
  <si>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</si>
  <si>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</si>
  <si>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</si>
  <si>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</si>
  <si>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</si>
  <si>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</si>
  <si>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</si>
  <si>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</si>
  <si>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</si>
  <si>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</si>
  <si>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</si>
  <si>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</si>
  <si>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</si>
  <si>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</si>
  <si>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</si>
  <si>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</si>
  <si>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</si>
  <si>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</si>
  <si>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</si>
  <si>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</si>
  <si>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</si>
  <si>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</si>
  <si>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</si>
  <si>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</si>
  <si>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</si>
  <si>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</si>
  <si>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</si>
  <si>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</si>
  <si>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</si>
  <si>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</si>
  <si>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</si>
  <si>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</si>
  <si>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</si>
  <si>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</si>
  <si>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</si>
  <si>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</si>
  <si>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</si>
  <si>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</si>
  <si>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</si>
  <si>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</si>
  <si>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</si>
  <si>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</si>
  <si>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</si>
  <si>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</si>
  <si>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</si>
  <si>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</si>
  <si>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</si>
  <si>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</si>
  <si>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</si>
  <si>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</si>
  <si>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</si>
  <si>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</si>
  <si>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</si>
  <si>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</si>
  <si>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</si>
  <si>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</si>
  <si>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</si>
  <si>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</si>
  <si>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</si>
  <si>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</si>
  <si>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</si>
  <si>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</si>
  <si>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</si>
  <si>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</si>
  <si>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</si>
  <si>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</si>
  <si>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</si>
  <si>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</si>
  <si>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</si>
  <si>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</si>
  <si>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</si>
  <si>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</si>
  <si>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</si>
  <si>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</si>
  <si>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</si>
  <si>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</si>
  <si>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</si>
  <si>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</si>
  <si>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</si>
  <si>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</si>
  <si>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</si>
  <si>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</si>
  <si>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</si>
  <si>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</si>
  <si>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</si>
  <si>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</si>
  <si>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</si>
  <si>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</si>
  <si>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</si>
  <si>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</si>
  <si>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</si>
  <si>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</si>
  <si>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</si>
  <si>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</si>
  <si>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</si>
  <si>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</si>
  <si>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</si>
  <si>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</si>
  <si>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</si>
  <si>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</si>
  <si>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</si>
  <si>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</si>
  <si>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</si>
  <si>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</si>
  <si>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</si>
  <si>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</si>
  <si>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</si>
  <si>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</si>
  <si>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</si>
  <si>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</si>
  <si>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</si>
  <si>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</si>
  <si>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</si>
  <si>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</si>
  <si>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</si>
  <si>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</si>
  <si>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</si>
  <si>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</si>
  <si>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</si>
  <si>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</si>
  <si>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</si>
  <si>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</si>
  <si>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</si>
  <si>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</si>
  <si>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</si>
  <si>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</si>
  <si>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</si>
  <si>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</si>
  <si>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</si>
  <si>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</si>
  <si>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</si>
  <si>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</si>
  <si>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</si>
  <si>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</si>
  <si>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</si>
  <si>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</si>
  <si>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</si>
  <si>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</si>
  <si>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</si>
  <si>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</si>
  <si>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</si>
  <si>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</si>
  <si>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</si>
  <si>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</si>
  <si>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</si>
  <si>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</si>
  <si>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</si>
  <si>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</si>
  <si>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</si>
  <si>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</si>
  <si>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</si>
  <si>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</si>
  <si>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</si>
  <si>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</si>
  <si>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</si>
  <si>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</si>
  <si>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</si>
  <si>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</si>
  <si>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</si>
  <si>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</si>
  <si>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</si>
  <si>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</si>
  <si>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</si>
  <si>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</si>
  <si>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</si>
  <si>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</si>
  <si>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</si>
  <si>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</si>
  <si>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</si>
  <si>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</si>
  <si>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</si>
  <si>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</si>
  <si>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</si>
  <si>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</si>
  <si>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</si>
  <si>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</si>
  <si>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</si>
  <si>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</si>
  <si>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</si>
  <si>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</si>
  <si>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</si>
  <si>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</si>
  <si>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</si>
  <si>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</si>
  <si>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</si>
  <si>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</si>
  <si>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</si>
  <si>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</si>
  <si>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</si>
  <si>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</si>
  <si>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</si>
  <si>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</si>
  <si>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</si>
  <si>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</si>
  <si>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</si>
  <si>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</si>
  <si>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</si>
  <si>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</si>
  <si>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</si>
  <si>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</si>
  <si>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</si>
  <si>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</si>
  <si>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</si>
  <si>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</si>
  <si>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</si>
  <si>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</si>
  <si>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</si>
  <si>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</si>
  <si>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</si>
  <si>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</si>
  <si>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</si>
  <si>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</si>
  <si>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</si>
  <si>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</si>
  <si>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</si>
  <si>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</si>
  <si>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</si>
  <si>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</si>
  <si>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</si>
  <si>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</si>
  <si>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</si>
  <si>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</si>
  <si>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</si>
  <si>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</si>
  <si>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</si>
  <si>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</si>
  <si>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</si>
  <si>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</si>
  <si>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</si>
  <si>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</si>
  <si>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</si>
  <si>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</si>
  <si>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</si>
  <si>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</si>
  <si>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</si>
  <si>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</si>
  <si>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</si>
  <si>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</si>
  <si>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</si>
  <si>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</si>
  <si>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</si>
  <si>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</si>
  <si>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</si>
  <si>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</si>
  <si>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</si>
  <si>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</si>
  <si>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</si>
  <si>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</si>
  <si>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</si>
  <si>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</si>
  <si>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</si>
  <si>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</si>
  <si>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</si>
  <si>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</si>
  <si>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</si>
  <si>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</si>
  <si>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</si>
  <si>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</si>
  <si>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</si>
  <si>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</si>
  <si>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</si>
  <si>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</si>
  <si>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</si>
  <si>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</si>
  <si>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</si>
  <si>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</si>
  <si>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</si>
  <si>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</si>
  <si>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</si>
  <si>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</si>
  <si>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</si>
  <si>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</si>
  <si>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</si>
  <si>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</si>
  <si>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</si>
  <si>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</si>
  <si>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</si>
  <si>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</si>
  <si>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</si>
  <si>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</si>
  <si>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</si>
  <si>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</si>
  <si>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</si>
  <si>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</si>
  <si>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</si>
  <si>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</si>
  <si>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</si>
  <si>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</si>
  <si>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</si>
  <si>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</si>
  <si>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</si>
  <si>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</si>
  <si>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</si>
  <si>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</si>
  <si>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</si>
  <si>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</si>
  <si>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</si>
  <si>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</si>
  <si>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</si>
  <si>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</si>
  <si>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</si>
  <si>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</si>
  <si>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</si>
  <si>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</si>
  <si>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</si>
  <si>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</si>
  <si>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</si>
  <si>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</si>
  <si>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</si>
  <si>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</si>
  <si>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</si>
  <si>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</si>
  <si>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</si>
  <si>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</si>
  <si>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</si>
  <si>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</si>
  <si>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</si>
  <si>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</si>
  <si>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</si>
  <si>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</si>
  <si>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</si>
  <si>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</si>
  <si>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</si>
  <si>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</si>
  <si>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</si>
  <si>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</si>
  <si>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</si>
  <si>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</si>
  <si>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</si>
  <si>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</si>
  <si>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</si>
  <si>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</si>
  <si>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</si>
  <si>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</si>
  <si>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</si>
  <si>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</si>
  <si>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</si>
  <si>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</si>
  <si>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</si>
  <si>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</si>
  <si>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</si>
  <si>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</si>
  <si>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</si>
  <si>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</si>
  <si>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</si>
  <si>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</si>
  <si>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</si>
  <si>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</si>
  <si>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</si>
  <si>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</si>
  <si>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</si>
  <si>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</si>
  <si>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</si>
  <si>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</si>
  <si>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</si>
  <si>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</si>
  <si>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</si>
  <si>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</si>
  <si>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</si>
  <si>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</si>
  <si>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</si>
  <si>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</si>
  <si>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</si>
  <si>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</si>
  <si>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</si>
  <si>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</si>
  <si>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</si>
  <si>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</si>
  <si>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</si>
  <si>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</si>
  <si>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</si>
  <si>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</si>
  <si>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</si>
  <si>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</si>
  <si>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</si>
  <si>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</si>
  <si>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</si>
  <si>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</si>
  <si>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</si>
  <si>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</si>
  <si>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</si>
  <si>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</si>
  <si>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</si>
  <si>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</si>
  <si>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</si>
  <si>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</si>
  <si>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</si>
  <si>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</si>
  <si>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</si>
  <si>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</si>
  <si>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</si>
  <si>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</si>
  <si>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</si>
  <si>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</si>
  <si>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</si>
  <si>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</si>
  <si>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</si>
  <si>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</si>
  <si>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</si>
  <si>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</si>
  <si>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</si>
  <si>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</si>
  <si>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</si>
  <si>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</si>
  <si>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</si>
  <si>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</si>
  <si>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</si>
  <si>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</si>
  <si>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</si>
  <si>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</si>
  <si>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</si>
  <si>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</si>
  <si>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</si>
  <si>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</si>
  <si>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</si>
  <si>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</si>
  <si>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</si>
  <si>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</si>
  <si>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</si>
  <si>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</si>
  <si>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</si>
  <si>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</si>
  <si>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</si>
  <si>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</si>
  <si>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</si>
  <si>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</si>
  <si>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</si>
  <si>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</si>
  <si>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</si>
  <si>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</si>
  <si>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</si>
  <si>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</si>
  <si>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</si>
  <si>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</si>
  <si>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</si>
  <si>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</si>
  <si>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</si>
  <si>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</si>
  <si>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</si>
  <si>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</si>
  <si>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</si>
  <si>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</si>
  <si>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</si>
  <si>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</si>
  <si>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</si>
  <si>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</si>
  <si>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</si>
  <si>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</si>
  <si>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</si>
  <si>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</si>
  <si>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</si>
  <si>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</si>
  <si>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</si>
  <si>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</si>
  <si>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</si>
  <si>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</si>
  <si>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</si>
  <si>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</si>
  <si>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</si>
  <si>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</si>
  <si>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</si>
  <si>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</si>
  <si>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</si>
  <si>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</si>
  <si>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</si>
  <si>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</si>
  <si>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</si>
  <si>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</si>
  <si>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</si>
  <si>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</si>
  <si>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</si>
  <si>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</si>
  <si>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</si>
  <si>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</si>
  <si>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</si>
  <si>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</si>
  <si>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</si>
  <si>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</si>
  <si>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</si>
  <si>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</si>
  <si>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</si>
  <si>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</si>
  <si>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</si>
  <si>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</si>
  <si>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</si>
  <si>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</si>
  <si>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</si>
  <si>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</si>
  <si>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</si>
  <si>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</si>
  <si>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</si>
  <si>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</si>
  <si>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</si>
  <si>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</si>
  <si>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</si>
  <si>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</si>
  <si>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</si>
  <si>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</si>
  <si>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</si>
  <si>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</si>
  <si>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</si>
  <si>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</si>
  <si>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</si>
  <si>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</si>
  <si>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</si>
  <si>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</si>
  <si>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</si>
  <si>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</si>
  <si>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</si>
  <si>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</si>
  <si>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</si>
  <si>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</si>
  <si>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</si>
  <si>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</si>
  <si>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</si>
  <si>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</si>
  <si>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</si>
  <si>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</si>
  <si>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</si>
  <si>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</si>
  <si>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</si>
  <si>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</si>
  <si>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</si>
  <si>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</si>
  <si>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</si>
  <si>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</si>
  <si>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</si>
  <si>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</si>
  <si>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</si>
  <si>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</si>
  <si>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</si>
  <si>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</si>
  <si>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</si>
  <si>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</si>
  <si>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</si>
  <si>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</si>
  <si>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</si>
  <si>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</si>
  <si>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</si>
  <si>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</si>
  <si>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</si>
  <si>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</si>
  <si>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</si>
  <si>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</si>
  <si>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</si>
  <si>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</si>
  <si>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</si>
  <si>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</si>
  <si>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</si>
  <si>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</si>
  <si>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</si>
  <si>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</si>
  <si>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</si>
  <si>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</si>
  <si>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</si>
  <si>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</si>
  <si>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</si>
  <si>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</si>
  <si>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</si>
  <si>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</si>
  <si>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</si>
  <si>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</si>
  <si>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</si>
  <si>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</si>
  <si>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</si>
  <si>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</si>
  <si>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</si>
  <si>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</si>
  <si>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</si>
  <si>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</si>
  <si>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</si>
  <si>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</si>
  <si>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</si>
  <si>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</si>
  <si>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</si>
  <si>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</si>
  <si>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</si>
  <si>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</si>
  <si>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</si>
  <si>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</si>
  <si>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</si>
  <si>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</si>
  <si>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</si>
  <si>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</si>
  <si>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</si>
  <si>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</si>
  <si>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</si>
  <si>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</si>
  <si>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</si>
  <si>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</si>
  <si>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</si>
  <si>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</si>
  <si>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</si>
  <si>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</si>
  <si>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</si>
  <si>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</si>
  <si>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</si>
  <si>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</si>
  <si>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</si>
  <si>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</si>
  <si>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</si>
  <si>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</si>
  <si>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</si>
  <si>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</si>
  <si>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</si>
  <si>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</si>
  <si>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</si>
  <si>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</si>
  <si>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</si>
  <si>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</si>
  <si>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</si>
  <si>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</si>
  <si>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</si>
  <si>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</si>
  <si>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</si>
  <si>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</si>
  <si>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</si>
  <si>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</si>
  <si>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</si>
  <si>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</si>
  <si>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</si>
  <si>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</si>
  <si>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</si>
  <si>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</si>
  <si>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</si>
  <si>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</si>
  <si>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</si>
  <si>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</si>
  <si>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</si>
  <si>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</si>
  <si>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</si>
  <si>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</si>
  <si>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</si>
  <si>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</si>
  <si>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</si>
  <si>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</si>
  <si>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</si>
  <si>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</si>
  <si>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</si>
  <si>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</si>
  <si>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</si>
  <si>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</si>
  <si>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</si>
  <si>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</si>
  <si>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</si>
  <si>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</si>
  <si>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</si>
  <si>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</si>
  <si>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</si>
  <si>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</si>
  <si>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</si>
  <si>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</si>
  <si>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</si>
  <si>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</si>
  <si>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</si>
  <si>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</si>
  <si>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</si>
  <si>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</si>
  <si>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</si>
  <si>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</si>
  <si>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</si>
  <si>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</si>
  <si>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</si>
  <si>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</si>
  <si>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</si>
  <si>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</si>
  <si>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</si>
  <si>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</si>
  <si>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</si>
  <si>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</si>
  <si>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</si>
  <si>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</si>
  <si>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</si>
  <si>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</si>
  <si>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</si>
  <si>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</si>
  <si>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</si>
  <si>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</si>
  <si>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</si>
  <si>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</si>
  <si>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</si>
  <si>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</si>
  <si>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</si>
  <si>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</si>
  <si>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</si>
  <si>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</si>
  <si>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</si>
  <si>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</si>
  <si>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</si>
  <si>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</si>
  <si>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</si>
  <si>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</si>
  <si>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</si>
  <si>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</si>
  <si>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</si>
  <si>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</si>
  <si>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</si>
  <si>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</si>
  <si>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</si>
  <si>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</si>
  <si>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</si>
  <si>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</si>
  <si>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</si>
  <si>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</si>
  <si>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</si>
  <si>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</si>
  <si>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</si>
  <si>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</si>
  <si>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</si>
  <si>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</si>
  <si>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</si>
  <si>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</si>
  <si>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</si>
  <si>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</si>
  <si>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</si>
  <si>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</si>
  <si>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</si>
  <si>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</si>
  <si>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</si>
  <si>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</si>
  <si>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</si>
  <si>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</si>
  <si>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</si>
  <si>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</si>
  <si>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</si>
  <si>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</si>
  <si>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</si>
  <si>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</si>
  <si>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</si>
  <si>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</si>
  <si>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</si>
  <si>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</si>
  <si>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</si>
  <si>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</si>
  <si>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</si>
  <si>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</si>
  <si>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</si>
  <si>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</si>
  <si>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</si>
  <si>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</si>
  <si>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</si>
  <si>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</si>
  <si>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</si>
  <si>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</si>
  <si>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</si>
  <si>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</si>
  <si>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</si>
  <si>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</si>
  <si>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</si>
  <si>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</si>
  <si>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</si>
  <si>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</si>
  <si>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</si>
  <si>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</si>
  <si>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</si>
  <si>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</si>
  <si>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</si>
  <si>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</si>
  <si>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</si>
  <si>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</si>
  <si>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</si>
  <si>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</si>
  <si>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</si>
  <si>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</si>
  <si>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</si>
  <si>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</si>
  <si>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</si>
  <si>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</si>
  <si>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</si>
  <si>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</si>
  <si>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</si>
  <si>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</si>
  <si>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</si>
  <si>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</si>
  <si>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</si>
  <si>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</si>
  <si>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</si>
  <si>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</si>
  <si>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</si>
  <si>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</si>
  <si>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</si>
  <si>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</si>
  <si>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</si>
  <si>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</si>
  <si>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</si>
  <si>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</si>
  <si>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</si>
  <si>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</si>
  <si>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</si>
  <si>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</si>
  <si>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</si>
  <si>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</si>
  <si>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</si>
  <si>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</si>
  <si>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</si>
  <si>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</si>
  <si>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</si>
  <si>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</si>
  <si>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</si>
  <si>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</si>
  <si>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</si>
  <si>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</si>
  <si>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</si>
  <si>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</si>
  <si>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</si>
  <si>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</si>
  <si>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</si>
  <si>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</si>
  <si>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</si>
  <si>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</si>
  <si>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</si>
  <si>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</si>
  <si>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</si>
  <si>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</si>
  <si>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</si>
  <si>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</si>
  <si>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</si>
  <si>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</si>
  <si>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</si>
  <si>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</si>
  <si>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</si>
  <si>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</si>
  <si>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</si>
  <si>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</si>
  <si>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</si>
  <si>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</si>
  <si>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</si>
  <si>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</si>
  <si>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</si>
  <si>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</si>
  <si>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</si>
  <si>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</si>
  <si>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</si>
  <si>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</si>
  <si>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</si>
  <si>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</si>
  <si>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</si>
  <si>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</si>
  <si>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</si>
  <si>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</si>
  <si>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</si>
  <si>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</si>
  <si>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</si>
  <si>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</si>
  <si>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</si>
  <si>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</si>
  <si>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</si>
  <si>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</si>
  <si>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</si>
  <si>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</si>
  <si>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</si>
  <si>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</si>
  <si>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</si>
  <si>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</si>
  <si>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</si>
  <si>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</si>
  <si>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</si>
  <si>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</si>
  <si>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</si>
  <si>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</si>
  <si>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</si>
  <si>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</si>
  <si>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</si>
  <si>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</si>
  <si>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</si>
  <si>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</si>
  <si>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</si>
  <si>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</si>
  <si>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</si>
  <si>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</si>
  <si>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</si>
  <si>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</si>
  <si>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</si>
  <si>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</si>
  <si>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</si>
  <si>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</si>
  <si>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</si>
  <si>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</si>
  <si>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</si>
  <si>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</si>
  <si>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</si>
  <si>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</si>
  <si>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</si>
  <si>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</si>
  <si>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</si>
  <si>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</si>
  <si>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</si>
  <si>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</si>
  <si>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</si>
  <si>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</si>
  <si>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</si>
  <si>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</si>
  <si>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</si>
  <si>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</si>
  <si>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</si>
  <si>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</si>
  <si>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</si>
  <si>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</si>
  <si>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</si>
  <si>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</si>
  <si>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</si>
  <si>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</si>
  <si>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</si>
  <si>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</si>
  <si>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</si>
  <si>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</si>
  <si>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</si>
  <si>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</si>
  <si>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</si>
  <si>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</si>
  <si>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</si>
  <si>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</si>
  <si>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</si>
  <si>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</si>
  <si>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</si>
  <si>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</si>
  <si>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</si>
  <si>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</si>
  <si>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</si>
  <si>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</si>
  <si>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</si>
  <si>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</si>
  <si>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</si>
  <si>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</si>
  <si>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</si>
  <si>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</si>
  <si>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</si>
  <si>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</si>
  <si>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</si>
  <si>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</si>
  <si>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</si>
  <si>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</si>
  <si>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</si>
  <si>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</si>
  <si>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</si>
  <si>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</si>
  <si>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</si>
  <si>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</si>
  <si>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</si>
  <si>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</si>
  <si>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</si>
  <si>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</si>
  <si>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</si>
  <si>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</si>
  <si>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</si>
  <si>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</si>
  <si>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</si>
  <si>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</si>
  <si>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</si>
  <si>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</si>
  <si>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</si>
  <si>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</si>
  <si>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</si>
  <si>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</si>
  <si>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</si>
  <si>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</si>
  <si>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</si>
  <si>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</si>
  <si>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</si>
  <si>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</si>
  <si>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</si>
  <si>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</si>
  <si>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</si>
  <si>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</si>
  <si>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</si>
  <si>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</si>
  <si>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</si>
  <si>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</si>
  <si>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</si>
  <si>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</si>
  <si>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</si>
  <si>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</si>
  <si>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</si>
  <si>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</si>
  <si>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</si>
  <si>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</si>
  <si>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</si>
  <si>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</si>
  <si>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</si>
  <si>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</si>
  <si>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</si>
  <si>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</si>
  <si>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</si>
  <si>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</si>
  <si>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</si>
  <si>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</si>
  <si>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</si>
  <si>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</si>
  <si>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</si>
  <si>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</si>
  <si>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</si>
  <si>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</si>
  <si>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</si>
  <si>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</si>
  <si>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</si>
  <si>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</si>
  <si>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</si>
  <si>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</si>
  <si>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</si>
  <si>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</si>
  <si>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</si>
  <si>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</si>
  <si>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</si>
  <si>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</si>
  <si>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</si>
  <si>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</si>
  <si>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</si>
  <si>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</si>
  <si>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</si>
  <si>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</si>
  <si>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</si>
  <si>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</si>
  <si>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</si>
  <si>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</si>
  <si>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</si>
  <si>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</si>
  <si>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</si>
  <si>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</si>
  <si>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</si>
  <si>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</si>
  <si>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</si>
  <si>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</si>
  <si>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</si>
  <si>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</si>
  <si>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</si>
  <si>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</si>
  <si>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</si>
  <si>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</si>
  <si>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</si>
  <si>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</si>
  <si>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</si>
  <si>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</si>
  <si>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</si>
  <si>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</si>
  <si>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</si>
  <si>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</si>
  <si>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</si>
  <si>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</si>
  <si>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</si>
  <si>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</si>
  <si>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</si>
  <si>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</si>
  <si>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</si>
  <si>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</si>
  <si>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</si>
  <si>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</si>
  <si>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</si>
  <si>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</si>
  <si>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</si>
  <si>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</si>
  <si>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</si>
  <si>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</si>
  <si>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</si>
  <si>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</si>
  <si>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</si>
  <si>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</si>
  <si>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</si>
  <si>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</si>
  <si>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</si>
  <si>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</si>
  <si>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</si>
  <si>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</si>
  <si>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</si>
  <si>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</si>
  <si>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</si>
  <si>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</si>
  <si>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</si>
  <si>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</si>
  <si>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</si>
  <si>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</si>
  <si>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</si>
  <si>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</si>
  <si>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</si>
  <si>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</si>
  <si>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</si>
  <si>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</si>
  <si>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</si>
  <si>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</si>
  <si>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</si>
  <si>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</si>
  <si>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</si>
  <si>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</si>
  <si>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</si>
  <si>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</si>
  <si>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</si>
  <si>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</si>
  <si>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</si>
  <si>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</si>
  <si>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</si>
  <si>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</si>
  <si>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</si>
  <si>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</si>
  <si>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</si>
  <si>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</si>
  <si>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</si>
  <si>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</si>
  <si>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</si>
  <si>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</si>
  <si>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</si>
  <si>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</si>
  <si>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</si>
  <si>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</si>
  <si>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</si>
  <si>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</si>
  <si>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</si>
  <si>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</si>
  <si>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</si>
  <si>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</si>
  <si>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</si>
  <si>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</si>
  <si>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</si>
  <si>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</si>
  <si>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</si>
  <si>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</si>
  <si>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</si>
  <si>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</si>
  <si>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</si>
  <si>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</si>
  <si>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</si>
  <si>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</si>
  <si>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</si>
  <si>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</si>
  <si>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</si>
  <si>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</si>
  <si>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</si>
  <si>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</si>
  <si>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</si>
  <si>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</si>
  <si>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</si>
  <si>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</si>
  <si>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</si>
  <si>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</si>
  <si>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</si>
  <si>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</si>
  <si>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</si>
  <si>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</si>
  <si>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</si>
  <si>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</si>
  <si>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</si>
  <si>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</si>
  <si>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</si>
  <si>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</si>
  <si>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</si>
  <si>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</si>
  <si>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</si>
  <si>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</si>
  <si>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</si>
  <si>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</si>
  <si>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</si>
  <si>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</si>
  <si>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</si>
  <si>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</si>
  <si>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</si>
  <si>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</si>
  <si>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</si>
  <si>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</si>
  <si>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</si>
  <si>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</si>
  <si>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</si>
  <si>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</si>
  <si>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</si>
  <si>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</si>
  <si>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</si>
  <si>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</si>
  <si>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</si>
  <si>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</si>
  <si>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</si>
  <si>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</si>
  <si>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</si>
  <si>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</si>
  <si>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</si>
  <si>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</si>
  <si>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</si>
  <si>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</si>
  <si>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</si>
  <si>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</si>
  <si>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</si>
  <si>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</si>
  <si>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</si>
  <si>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</si>
  <si>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</si>
  <si>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</si>
  <si>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</si>
  <si>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</si>
  <si>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</si>
  <si>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</si>
  <si>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</si>
  <si>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</si>
  <si>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</si>
  <si>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</si>
  <si>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</si>
  <si>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</si>
  <si>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</si>
  <si>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</si>
  <si>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</si>
  <si>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</si>
  <si>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</si>
  <si>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</si>
  <si>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</si>
  <si>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</si>
  <si>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</si>
  <si>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</si>
  <si>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</si>
  <si>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</si>
  <si>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</si>
  <si>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</si>
  <si>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</si>
  <si>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</si>
  <si>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</si>
  <si>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</si>
  <si>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</si>
  <si>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</si>
  <si>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</si>
  <si>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</si>
  <si>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</si>
  <si>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</si>
  <si>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</si>
  <si>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</si>
  <si>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</si>
  <si>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</si>
  <si>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</si>
  <si>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</si>
  <si>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</si>
  <si>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</si>
  <si>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</si>
  <si>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</si>
  <si>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</si>
  <si>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</si>
  <si>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</si>
  <si>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</si>
  <si>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</si>
  <si>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</si>
  <si>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</si>
  <si>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</si>
  <si>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</si>
  <si>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</si>
  <si>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</si>
  <si>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</si>
  <si>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</si>
  <si>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</si>
  <si>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</si>
  <si>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</si>
  <si>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</si>
  <si>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</si>
  <si>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</si>
  <si>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</si>
  <si>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</si>
  <si>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</si>
  <si>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</si>
  <si>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</si>
  <si>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</si>
  <si>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</si>
  <si>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</si>
  <si>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</si>
  <si>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</si>
  <si>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</si>
  <si>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</si>
  <si>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</si>
  <si>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</si>
  <si>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</si>
  <si>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</si>
  <si>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</si>
  <si>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</si>
  <si>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</si>
  <si>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</si>
  <si>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</si>
  <si>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</si>
  <si>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</si>
  <si>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</si>
  <si>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</si>
  <si>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</si>
  <si>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</si>
  <si>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</si>
  <si>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</si>
  <si>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</si>
  <si>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</si>
  <si>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</si>
  <si>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</si>
  <si>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</si>
  <si>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</si>
  <si>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</si>
  <si>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</si>
  <si>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</si>
  <si>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</si>
  <si>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</si>
  <si>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</si>
  <si>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</si>
  <si>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</si>
  <si>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</si>
  <si>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</si>
  <si>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</si>
  <si>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</si>
  <si>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</si>
  <si>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</si>
  <si>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</si>
  <si>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</si>
  <si>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</si>
  <si>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</si>
  <si>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</si>
  <si>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</si>
  <si>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</si>
  <si>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</si>
  <si>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</si>
  <si>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</si>
  <si>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</si>
  <si>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</si>
  <si>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</si>
  <si>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</si>
  <si>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</si>
  <si>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</si>
  <si>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</si>
  <si>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</si>
  <si>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</si>
  <si>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</si>
  <si>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</si>
  <si>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</si>
  <si>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</si>
  <si>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</si>
  <si>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</si>
  <si>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</si>
  <si>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</si>
  <si>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</si>
  <si>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</si>
  <si>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</si>
  <si>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</si>
  <si>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</si>
  <si>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</si>
  <si>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</si>
  <si>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</si>
  <si>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</si>
  <si>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</si>
  <si>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</si>
  <si>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</si>
  <si>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</si>
  <si>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</si>
  <si>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</si>
  <si>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</si>
  <si>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</si>
  <si>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</si>
  <si>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</si>
  <si>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</si>
  <si>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</si>
  <si>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</si>
  <si>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</si>
  <si>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</si>
  <si>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</si>
  <si>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</si>
  <si>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</si>
  <si>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</si>
  <si>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</si>
  <si>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</si>
  <si>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</si>
  <si>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</si>
  <si>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</si>
  <si>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</si>
  <si>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</si>
  <si>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</si>
  <si>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</si>
  <si>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</si>
  <si>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</si>
  <si>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</si>
  <si>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</si>
  <si>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</si>
  <si>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</si>
  <si>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</si>
  <si>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</si>
  <si>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</si>
  <si>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</si>
  <si>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</si>
  <si>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</si>
  <si>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</si>
  <si>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</si>
  <si>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</si>
  <si>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</si>
  <si>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</si>
  <si>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</si>
  <si>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</si>
  <si>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</si>
  <si>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</si>
  <si>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</si>
  <si>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</si>
  <si>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</si>
  <si>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</si>
  <si>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</si>
  <si>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</si>
  <si>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</si>
  <si>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</si>
  <si>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</si>
  <si>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</si>
  <si>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</si>
  <si>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</si>
  <si>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</si>
  <si>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</si>
  <si>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</si>
  <si>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</si>
  <si>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</si>
  <si>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</si>
  <si>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</si>
  <si>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</si>
  <si>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</si>
  <si>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</si>
  <si>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</si>
  <si>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</si>
  <si>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</si>
  <si>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</si>
  <si>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</si>
  <si>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</si>
  <si>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</si>
  <si>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</si>
  <si>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</si>
  <si>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</si>
  <si>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</si>
  <si>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</si>
  <si>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</si>
  <si>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</si>
  <si>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</si>
  <si>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</si>
  <si>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</si>
  <si>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</si>
  <si>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</si>
  <si>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</si>
  <si>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</si>
  <si>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</si>
  <si>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</si>
  <si>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</si>
  <si>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</si>
  <si>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</si>
  <si>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</si>
  <si>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</si>
  <si>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</si>
  <si>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</si>
  <si>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</si>
  <si>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</si>
  <si>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</si>
  <si>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</si>
  <si>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</si>
  <si>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</si>
  <si>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</si>
  <si>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</si>
  <si>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</si>
  <si>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</si>
  <si>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</si>
  <si>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</si>
  <si>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</si>
  <si>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</si>
  <si>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</si>
  <si>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</si>
  <si>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</si>
  <si>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</si>
  <si>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</si>
  <si>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</si>
  <si>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</si>
  <si>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</si>
  <si>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</si>
  <si>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</si>
  <si>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</si>
  <si>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</si>
  <si>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</si>
  <si>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</si>
  <si>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</si>
  <si>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</si>
  <si>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</si>
  <si>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</si>
  <si>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</si>
  <si>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</si>
  <si>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</si>
  <si>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</si>
  <si>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</si>
  <si>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</si>
  <si>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</si>
  <si>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</si>
  <si>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</si>
  <si>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</si>
  <si>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</si>
  <si>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</si>
  <si>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</si>
  <si>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</si>
  <si>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</si>
  <si>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</si>
  <si>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</si>
  <si>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</si>
  <si>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</si>
  <si>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</si>
  <si>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</si>
  <si>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</si>
  <si>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</si>
  <si>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</si>
  <si>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</si>
  <si>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</si>
  <si>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</si>
  <si>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</si>
  <si>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</si>
  <si>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</si>
  <si>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</si>
  <si>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</si>
  <si>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</si>
  <si>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</si>
  <si>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</si>
  <si>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</si>
  <si>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</si>
  <si>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</si>
  <si>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</si>
  <si>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</si>
  <si>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</si>
  <si>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</si>
  <si>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</si>
  <si>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</si>
  <si>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</si>
  <si>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</si>
  <si>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</si>
  <si>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</si>
  <si>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</si>
  <si>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</si>
  <si>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</si>
  <si>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</si>
  <si>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</si>
  <si>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</si>
  <si>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</si>
  <si>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</si>
  <si>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</si>
  <si>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</si>
  <si>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</si>
  <si>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</si>
  <si>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</si>
  <si>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</si>
  <si>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</si>
  <si>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</si>
  <si>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</si>
  <si>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</si>
  <si>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</si>
  <si>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</si>
  <si>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</si>
  <si>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</si>
  <si>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</si>
  <si>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</si>
  <si>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</si>
  <si>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</si>
  <si>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</si>
  <si>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</si>
  <si>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</si>
  <si>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</si>
  <si>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</si>
  <si>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</si>
  <si>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</si>
  <si>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</si>
  <si>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</si>
  <si>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</si>
  <si>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</si>
  <si>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</si>
  <si>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</si>
  <si>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</si>
  <si>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</si>
  <si>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</si>
  <si>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</si>
  <si>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</si>
  <si>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</si>
  <si>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</si>
  <si>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</si>
  <si>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</si>
  <si>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</si>
  <si>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</si>
  <si>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</si>
  <si>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</si>
  <si>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</si>
  <si>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</si>
  <si>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</si>
  <si>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</si>
  <si>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</si>
  <si>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</si>
  <si>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</si>
  <si>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</si>
  <si>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</si>
  <si>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</si>
  <si>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</si>
  <si>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</si>
  <si>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</si>
  <si>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</si>
  <si>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</si>
  <si>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</si>
  <si>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</si>
  <si>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</si>
  <si>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</si>
  <si>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</si>
  <si>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</si>
  <si>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</si>
  <si>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</si>
  <si>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</si>
  <si>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</si>
  <si>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</si>
  <si>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</si>
  <si>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</si>
  <si>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</si>
  <si>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</si>
  <si>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</si>
  <si>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</si>
  <si>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</si>
  <si>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</si>
  <si>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</si>
  <si>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</si>
  <si>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</si>
  <si>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</si>
  <si>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</si>
  <si>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</si>
  <si>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</si>
  <si>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</si>
  <si>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</si>
  <si>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</si>
  <si>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</si>
  <si>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</si>
  <si>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</si>
  <si>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</si>
  <si>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</si>
  <si>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</si>
  <si>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</si>
  <si>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</si>
  <si>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</si>
  <si>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</si>
  <si>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</si>
  <si>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</si>
  <si>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</si>
  <si>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</si>
  <si>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</si>
  <si>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</si>
  <si>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</si>
  <si>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</si>
  <si>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</si>
  <si>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</si>
  <si>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</si>
  <si>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</si>
  <si>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</si>
  <si>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</si>
  <si>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</si>
  <si>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</si>
  <si>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</si>
  <si>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</si>
  <si>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</si>
  <si>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</si>
  <si>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</si>
  <si>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</si>
  <si>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</si>
  <si>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</si>
  <si>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</si>
  <si>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</si>
  <si>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</si>
  <si>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</si>
  <si>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</si>
  <si>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</si>
  <si>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</si>
  <si>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</si>
  <si>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</si>
  <si>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</si>
  <si>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</si>
  <si>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</si>
  <si>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</si>
  <si>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</si>
  <si>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</si>
  <si>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</si>
  <si>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</si>
  <si>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</si>
  <si>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</si>
  <si>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</si>
  <si>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</si>
  <si>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</si>
  <si>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</si>
  <si>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</si>
  <si>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</si>
  <si>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</si>
  <si>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</si>
  <si>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</si>
  <si>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</si>
  <si>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</si>
  <si>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</si>
  <si>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</si>
  <si>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</si>
  <si>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</si>
  <si>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</si>
  <si>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</si>
  <si>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</si>
  <si>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</si>
  <si>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</si>
  <si>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</si>
  <si>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</si>
  <si>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</si>
  <si>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</si>
  <si>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</si>
  <si>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</si>
  <si>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</si>
  <si>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</si>
  <si>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</si>
  <si>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</si>
  <si>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</si>
  <si>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</si>
  <si>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</si>
  <si>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</si>
  <si>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</si>
  <si>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</si>
  <si>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</si>
  <si>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</si>
  <si>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</si>
  <si>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</si>
  <si>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</si>
  <si>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</si>
  <si>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</si>
  <si>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</si>
  <si>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</si>
  <si>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</si>
  <si>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</si>
  <si>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</si>
  <si>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</si>
  <si>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</si>
  <si>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</si>
  <si>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</si>
  <si>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</si>
  <si>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</si>
  <si>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</si>
  <si>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</si>
  <si>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</si>
  <si>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</si>
  <si>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</si>
  <si>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</si>
  <si>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</si>
  <si>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</si>
  <si>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</si>
  <si>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</si>
  <si>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</si>
  <si>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</si>
  <si>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</si>
  <si>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</si>
  <si>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</si>
  <si>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</si>
  <si>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</si>
  <si>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</si>
  <si>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</si>
  <si>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</si>
  <si>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</si>
  <si>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</si>
  <si>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</si>
  <si>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</si>
  <si>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</si>
  <si>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</si>
  <si>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</si>
  <si>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</si>
  <si>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</si>
  <si>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</si>
  <si>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</si>
  <si>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</si>
  <si>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</si>
  <si>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</si>
  <si>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</si>
  <si>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</si>
  <si>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</si>
  <si>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</si>
  <si>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</si>
  <si>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</si>
  <si>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</si>
  <si>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</si>
  <si>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</si>
  <si>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</si>
  <si>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</si>
  <si>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</si>
  <si>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</si>
  <si>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</si>
  <si>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</si>
  <si>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</si>
  <si>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</si>
  <si>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</si>
  <si>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</si>
  <si>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</si>
  <si>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</si>
  <si>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</si>
  <si>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</si>
  <si>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</si>
  <si>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</si>
  <si>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</si>
  <si>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</si>
  <si>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</si>
  <si>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</si>
  <si>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</si>
  <si>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</si>
  <si>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</si>
  <si>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</si>
  <si>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</si>
  <si>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</si>
  <si>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</si>
  <si>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</si>
  <si>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</si>
  <si>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</si>
  <si>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</si>
  <si>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</si>
  <si>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</si>
  <si>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</si>
  <si>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</si>
  <si>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</si>
  <si>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</si>
  <si>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</si>
  <si>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</si>
  <si>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</si>
  <si>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</si>
  <si>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</si>
  <si>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</si>
  <si>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</si>
  <si>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</si>
  <si>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</si>
  <si>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</si>
  <si>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</si>
  <si>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</si>
  <si>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</si>
  <si>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</si>
  <si>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</si>
  <si>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</si>
  <si>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</si>
  <si>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</si>
  <si>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</si>
  <si>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</si>
  <si>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</si>
  <si>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</si>
  <si>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</si>
  <si>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</si>
  <si>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</si>
  <si>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</si>
  <si>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</si>
  <si>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</si>
  <si>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</si>
  <si>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</si>
  <si>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</si>
  <si>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</si>
  <si>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</si>
  <si>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</si>
  <si>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</si>
  <si>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</si>
  <si>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</si>
  <si>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</si>
  <si>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</si>
  <si>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</si>
  <si>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</si>
  <si>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</si>
  <si>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</si>
  <si>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</si>
  <si>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</si>
  <si>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</si>
  <si>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</si>
  <si>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</si>
  <si>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</si>
  <si>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</si>
  <si>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</si>
  <si>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</si>
  <si>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</si>
  <si>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</si>
  <si>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</si>
  <si>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</si>
  <si>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</si>
  <si>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</si>
  <si>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</si>
  <si>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</si>
  <si>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</si>
  <si>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</si>
  <si>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</si>
  <si>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</si>
  <si>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</si>
  <si>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</si>
  <si>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</si>
  <si>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</si>
  <si>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</si>
  <si>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</si>
  <si>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</si>
  <si>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</si>
  <si>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</si>
  <si>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</si>
  <si>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</si>
  <si>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</si>
  <si>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</si>
  <si>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</si>
  <si>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</si>
  <si>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</si>
  <si>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</si>
  <si>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</si>
  <si>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</si>
  <si>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</si>
  <si>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</si>
  <si>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</si>
  <si>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</si>
  <si>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</si>
  <si>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</si>
  <si>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</si>
  <si>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</si>
  <si>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</si>
  <si>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</si>
  <si>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</si>
  <si>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</si>
  <si>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</si>
  <si>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</si>
  <si>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</si>
  <si>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</si>
  <si>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</si>
  <si>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</si>
  <si>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</si>
  <si>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</si>
  <si>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</si>
  <si>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</si>
  <si>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</si>
  <si>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</si>
  <si>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</si>
  <si>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</si>
  <si>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</si>
  <si>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</si>
  <si>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</si>
  <si>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</si>
  <si>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</si>
  <si>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</si>
  <si>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</si>
  <si>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</si>
  <si>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</si>
  <si>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</si>
  <si>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</si>
  <si>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</si>
  <si>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</si>
  <si>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</si>
  <si>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</si>
  <si>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</si>
  <si>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</si>
  <si>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</si>
  <si>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</si>
  <si>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</si>
  <si>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</si>
  <si>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</si>
  <si>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</si>
  <si>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</si>
  <si>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</si>
  <si>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</si>
  <si>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</si>
  <si>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</si>
  <si>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</si>
  <si>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</si>
  <si>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</si>
  <si>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</si>
  <si>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</si>
  <si>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</si>
  <si>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</si>
  <si>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</si>
  <si>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</si>
  <si>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</si>
  <si>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</si>
  <si>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</si>
  <si>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</si>
  <si>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</si>
  <si>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</si>
  <si>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</si>
  <si>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</si>
  <si>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</si>
  <si>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</si>
  <si>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</si>
  <si>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</si>
  <si>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</si>
  <si>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</si>
  <si>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</si>
  <si>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</si>
  <si>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</si>
  <si>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</si>
  <si>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</si>
  <si>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</si>
  <si>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</si>
  <si>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</si>
  <si>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</si>
  <si>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</si>
  <si>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</si>
  <si>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</si>
  <si>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</si>
  <si>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</si>
  <si>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</si>
  <si>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</si>
  <si>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</si>
  <si>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</si>
  <si>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</si>
  <si>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</si>
  <si>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</si>
  <si>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</si>
  <si>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</si>
  <si>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</si>
  <si>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</si>
  <si>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</si>
  <si>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</si>
  <si>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</si>
  <si>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</si>
  <si>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</si>
  <si>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</si>
  <si>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</si>
  <si>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</si>
  <si>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</si>
  <si>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</si>
  <si>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</si>
  <si>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</si>
  <si>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</si>
  <si>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</si>
  <si>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</si>
  <si>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</si>
  <si>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</si>
  <si>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</si>
  <si>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</si>
  <si>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</si>
  <si>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</si>
  <si>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</si>
  <si>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</si>
  <si>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</si>
  <si>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</si>
  <si>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</si>
  <si>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</si>
  <si>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</si>
  <si>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</si>
  <si>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</si>
  <si>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</si>
  <si>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</si>
  <si>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</si>
  <si>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</si>
  <si>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</si>
  <si>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</si>
  <si>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</si>
  <si>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</si>
  <si>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</si>
  <si>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</si>
  <si>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</si>
  <si>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</si>
  <si>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</si>
  <si>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</si>
  <si>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</si>
  <si>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</si>
  <si>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</si>
  <si>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</si>
  <si>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</si>
  <si>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</si>
  <si>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</si>
  <si>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</si>
  <si>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</si>
  <si>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</si>
  <si>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</si>
  <si>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</si>
  <si>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</si>
  <si>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</si>
  <si>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</si>
  <si>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</si>
  <si>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</si>
  <si>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</si>
  <si>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</si>
  <si>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</si>
  <si>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</si>
  <si>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</si>
  <si>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</si>
  <si>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</si>
  <si>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</si>
  <si>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</si>
  <si>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</si>
  <si>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</si>
  <si>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</si>
  <si>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</si>
  <si>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</si>
  <si>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</si>
  <si>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</si>
  <si>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</si>
  <si>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</si>
  <si>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</si>
  <si>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</si>
  <si>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</si>
  <si>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</si>
  <si>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</si>
  <si>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</si>
  <si>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</si>
  <si>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</si>
  <si>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</si>
  <si>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</si>
  <si>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</si>
  <si>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</si>
  <si>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</si>
  <si>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</si>
  <si>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</si>
  <si>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</si>
  <si>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</si>
  <si>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</si>
  <si>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</si>
  <si>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</si>
  <si>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</si>
  <si>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</si>
  <si>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</si>
  <si>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</si>
  <si>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</si>
  <si>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</si>
  <si>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</si>
  <si>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</si>
  <si>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</si>
  <si>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</si>
  <si>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</si>
  <si>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</si>
  <si>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</si>
  <si>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</si>
  <si>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</si>
  <si>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</si>
  <si>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</si>
  <si>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</si>
  <si>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</si>
  <si>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</si>
  <si>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</si>
  <si>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</si>
  <si>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</si>
  <si>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</si>
  <si>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</si>
  <si>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</si>
  <si>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</si>
  <si>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</si>
  <si>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</si>
  <si>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</si>
  <si>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</si>
  <si>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</si>
  <si>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</si>
  <si>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</si>
  <si>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</si>
  <si>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</si>
  <si>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</si>
  <si>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</si>
  <si>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</si>
  <si>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</si>
  <si>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</si>
  <si>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</si>
  <si>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</si>
  <si>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</si>
  <si>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</si>
  <si>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</si>
  <si>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</si>
  <si>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</si>
  <si>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</si>
  <si>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</si>
  <si>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</si>
  <si>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</si>
  <si>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</si>
  <si>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</si>
  <si>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</si>
  <si>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</si>
  <si>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</si>
  <si>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</si>
  <si>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</si>
  <si>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</si>
  <si>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</si>
  <si>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</si>
  <si>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</si>
  <si>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</si>
  <si>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</si>
  <si>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</si>
  <si>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</si>
  <si>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</si>
  <si>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</si>
  <si>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</si>
  <si>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</si>
  <si>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</si>
  <si>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</si>
  <si>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</si>
  <si>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</si>
  <si>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</si>
  <si>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</si>
  <si>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</si>
  <si>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</si>
  <si>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</si>
  <si>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</si>
  <si>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</si>
  <si>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</si>
  <si>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</si>
  <si>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</si>
  <si>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</si>
  <si>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</si>
  <si>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</si>
  <si>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</si>
  <si>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</si>
  <si>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</si>
  <si>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</si>
  <si>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</si>
  <si>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</si>
  <si>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</si>
  <si>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</si>
  <si>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</si>
  <si>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</si>
  <si>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</si>
  <si>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</si>
  <si>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</si>
  <si>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</si>
  <si>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</si>
  <si>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</si>
  <si>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</si>
  <si>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</si>
  <si>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</si>
  <si>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</si>
  <si>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</si>
  <si>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</si>
  <si>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</si>
  <si>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</si>
  <si>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</si>
  <si>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</si>
  <si>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</si>
  <si>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</si>
  <si>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</si>
  <si>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</si>
  <si>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</si>
  <si>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</si>
  <si>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</si>
  <si>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</si>
  <si>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</si>
  <si>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</si>
  <si>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</si>
  <si>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</si>
  <si>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</si>
  <si>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</si>
  <si>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</si>
  <si>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</si>
  <si>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</si>
  <si>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</si>
  <si>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</si>
  <si>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</si>
  <si>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</si>
  <si>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</si>
  <si>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</si>
  <si>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</si>
  <si>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</si>
  <si>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</si>
  <si>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</si>
  <si>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</si>
  <si>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</si>
  <si>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</si>
  <si>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</si>
  <si>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</si>
  <si>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</si>
  <si>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</si>
  <si>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</si>
  <si>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</si>
  <si>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</si>
  <si>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</si>
  <si>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</si>
  <si>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</si>
  <si>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</si>
  <si>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</si>
  <si>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</si>
  <si>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</si>
  <si>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</si>
  <si>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</si>
  <si>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</si>
  <si>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</si>
  <si>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</si>
  <si>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</si>
  <si>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</si>
  <si>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</si>
  <si>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</si>
  <si>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</si>
  <si>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</si>
  <si>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</si>
  <si>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</si>
  <si>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</si>
  <si>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</si>
  <si>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</si>
  <si>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</si>
  <si>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</si>
  <si>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</si>
  <si>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</si>
  <si>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</si>
  <si>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</si>
  <si>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</si>
  <si>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</si>
  <si>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</si>
  <si>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</si>
  <si>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</si>
  <si>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</si>
  <si>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</si>
  <si>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</si>
  <si>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</si>
  <si>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</si>
  <si>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</si>
  <si>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</si>
  <si>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</si>
  <si>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</si>
  <si>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</si>
  <si>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</si>
  <si>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</si>
  <si>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</si>
  <si>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</si>
  <si>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</si>
  <si>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</si>
  <si>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</si>
  <si>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</si>
  <si>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</si>
  <si>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</si>
  <si>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</si>
  <si>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</si>
  <si>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</si>
  <si>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</si>
  <si>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</si>
  <si>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</si>
  <si>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</si>
  <si>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</si>
  <si>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</si>
  <si>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</si>
  <si>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</si>
  <si>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</si>
  <si>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</si>
  <si>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</si>
  <si>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</si>
  <si>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</si>
  <si>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</si>
  <si>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</si>
  <si>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</si>
  <si>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</si>
  <si>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</si>
  <si>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</si>
  <si>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</si>
  <si>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</si>
  <si>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</si>
  <si>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</si>
  <si>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</si>
  <si>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</si>
  <si>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</si>
  <si>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</si>
  <si>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</si>
  <si>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</si>
  <si>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</si>
  <si>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</si>
  <si>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</si>
  <si>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</si>
  <si>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</si>
  <si>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</si>
  <si>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</si>
  <si>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</si>
  <si>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</si>
  <si>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</si>
  <si>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</si>
  <si>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</si>
  <si>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</si>
  <si>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</si>
  <si>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</si>
  <si>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</si>
  <si>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</si>
  <si>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</si>
  <si>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</si>
  <si>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</si>
  <si>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</si>
  <si>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</si>
  <si>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</si>
  <si>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</si>
  <si>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</si>
  <si>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</si>
  <si>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</si>
  <si>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</si>
  <si>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</si>
  <si>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</si>
  <si>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</si>
  <si>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</si>
  <si>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</si>
  <si>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</si>
  <si>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</si>
  <si>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</si>
  <si>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</si>
  <si>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</si>
  <si>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</si>
  <si>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</si>
  <si>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</si>
  <si>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</si>
  <si>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</si>
  <si>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</si>
  <si>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</si>
  <si>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</si>
  <si>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</si>
  <si>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</si>
  <si>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</si>
  <si>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</si>
  <si>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</si>
  <si>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</si>
  <si>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</si>
  <si>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</si>
  <si>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</si>
  <si>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</si>
  <si>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</si>
  <si>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</si>
  <si>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</si>
  <si>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</si>
  <si>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</si>
  <si>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</si>
  <si>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</si>
  <si>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</si>
  <si>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</si>
  <si>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</si>
  <si>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</si>
  <si>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</si>
  <si>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</si>
  <si>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</si>
  <si>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</si>
  <si>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</si>
  <si>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</si>
  <si>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</si>
  <si>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</si>
  <si>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</si>
  <si>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</si>
  <si>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</si>
  <si>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</si>
  <si>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</si>
  <si>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</si>
  <si>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</si>
  <si>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</si>
  <si>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</si>
  <si>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</si>
  <si>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</si>
  <si>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</si>
  <si>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</si>
  <si>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</si>
  <si>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</si>
  <si>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</si>
  <si>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</si>
  <si>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</si>
  <si>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</si>
  <si>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</si>
  <si>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</si>
  <si>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</si>
  <si>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</si>
  <si>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</si>
  <si>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</si>
  <si>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</si>
  <si>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</si>
  <si>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</si>
  <si>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</si>
  <si>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</si>
  <si>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</si>
  <si>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</si>
  <si>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</si>
  <si>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</si>
  <si>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</si>
  <si>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</si>
  <si>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</si>
  <si>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</si>
  <si>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</si>
  <si>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</si>
  <si>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</si>
  <si>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</si>
  <si>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</si>
  <si>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</si>
  <si>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</si>
  <si>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</si>
  <si>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</si>
  <si>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</si>
  <si>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</si>
  <si>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</si>
  <si>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</si>
  <si>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</si>
  <si>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</si>
  <si>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</si>
  <si>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</si>
  <si>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</si>
  <si>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</si>
  <si>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</si>
  <si>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</si>
  <si>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</si>
  <si>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</si>
  <si>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</si>
  <si>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</si>
  <si>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</si>
  <si>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</si>
  <si>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</si>
  <si>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</si>
  <si>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</si>
  <si>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</si>
  <si>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</si>
  <si>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</si>
  <si>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</si>
  <si>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</si>
  <si>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</si>
  <si>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</si>
  <si>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</si>
  <si>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</si>
  <si>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</si>
  <si>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</si>
  <si>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</si>
  <si>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</si>
  <si>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</si>
  <si>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</si>
  <si>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</si>
  <si>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</si>
  <si>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</si>
  <si>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</si>
  <si>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</si>
  <si>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</si>
  <si>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</si>
  <si>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</si>
  <si>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</si>
  <si>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</si>
  <si>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</si>
  <si>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</si>
  <si>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</si>
  <si>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</si>
  <si>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</si>
  <si>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</si>
  <si>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</si>
  <si>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</si>
  <si>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</si>
  <si>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</si>
  <si>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</si>
  <si>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</si>
  <si>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</si>
  <si>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</si>
  <si>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</si>
  <si>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</si>
  <si>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</si>
  <si>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</si>
  <si>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</si>
  <si>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</si>
  <si>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</si>
  <si>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</si>
  <si>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</si>
  <si>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</si>
  <si>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</si>
  <si>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</si>
  <si>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</si>
  <si>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</si>
  <si>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</si>
  <si>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</si>
  <si>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</si>
  <si>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</si>
  <si>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</si>
  <si>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</si>
  <si>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</si>
  <si>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</si>
  <si>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</si>
  <si>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</si>
  <si>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</si>
  <si>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</si>
  <si>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</si>
  <si>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</si>
  <si>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</si>
  <si>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</si>
  <si>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</si>
  <si>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</si>
  <si>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</si>
  <si>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</si>
  <si>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</si>
  <si>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</si>
  <si>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</si>
  <si>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</si>
  <si>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</si>
  <si>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</si>
  <si>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</si>
  <si>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</si>
  <si>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</si>
  <si>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</si>
  <si>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</si>
  <si>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</si>
  <si>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</si>
  <si>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</si>
  <si>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</si>
  <si>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</si>
  <si>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</si>
  <si>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</si>
  <si>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</si>
  <si>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</si>
  <si>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</si>
  <si>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</si>
  <si>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</si>
  <si>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</si>
  <si>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</si>
  <si>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</si>
  <si>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</si>
  <si>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</si>
  <si>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</si>
  <si>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</si>
  <si>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</si>
  <si>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</si>
  <si>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</si>
  <si>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</si>
  <si>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</si>
  <si>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</si>
  <si>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</si>
  <si>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</si>
  <si>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</si>
  <si>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</si>
  <si>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</si>
  <si>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</si>
  <si>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</si>
  <si>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</si>
  <si>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</si>
  <si>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</si>
  <si>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</si>
  <si>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</si>
  <si>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</si>
  <si>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</si>
  <si>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</si>
  <si>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</si>
  <si>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</si>
  <si>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</si>
  <si>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</si>
  <si>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</si>
  <si>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</si>
  <si>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</si>
  <si>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</si>
  <si>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</si>
  <si>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</si>
  <si>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</si>
  <si>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</si>
  <si>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</si>
  <si>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</si>
  <si>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</si>
  <si>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</si>
  <si>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</si>
  <si>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</si>
  <si>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</si>
  <si>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</si>
  <si>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</si>
  <si>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</si>
  <si>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</si>
  <si>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</si>
  <si>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</si>
  <si>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</si>
  <si>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</si>
  <si>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</si>
  <si>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</si>
  <si>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</si>
  <si>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</si>
  <si>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</si>
  <si>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</si>
  <si>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</si>
  <si>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</si>
  <si>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</si>
  <si>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</si>
  <si>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</si>
  <si>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</si>
  <si>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</si>
  <si>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</si>
  <si>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</si>
  <si>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</si>
  <si>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</si>
  <si>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</si>
  <si>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</si>
  <si>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</si>
  <si>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</si>
  <si>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</si>
  <si>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</si>
  <si>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</si>
  <si>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</si>
  <si>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</si>
  <si>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</si>
  <si>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</si>
  <si>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</si>
  <si>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</si>
  <si>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</si>
  <si>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</si>
  <si>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</si>
  <si>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</si>
  <si>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</si>
  <si>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</si>
  <si>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</si>
  <si>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</si>
  <si>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</si>
  <si>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</si>
  <si>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</si>
  <si>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</si>
  <si>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</si>
  <si>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</si>
  <si>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</si>
  <si>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</si>
  <si>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</si>
  <si>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</si>
  <si>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</si>
  <si>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</si>
  <si>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</si>
  <si>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</si>
  <si>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</si>
  <si>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</si>
  <si>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</si>
  <si>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</si>
  <si>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</si>
  <si>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</si>
  <si>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</si>
  <si>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</si>
  <si>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</si>
  <si>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</si>
  <si>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</si>
  <si>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</si>
  <si>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</si>
  <si>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</si>
  <si>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</si>
  <si>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</si>
  <si>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</si>
  <si>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</si>
  <si>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</si>
  <si>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</si>
  <si>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</si>
  <si>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</si>
  <si>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</si>
  <si>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</si>
  <si>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</si>
  <si>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</si>
  <si>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</si>
  <si>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</si>
  <si>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</si>
  <si>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</si>
  <si>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</si>
  <si>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</si>
  <si>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</si>
  <si>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</si>
  <si>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</si>
  <si>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</si>
  <si>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</si>
  <si>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</si>
  <si>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</si>
  <si>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</si>
  <si>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</si>
  <si>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</si>
  <si>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</si>
  <si>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</si>
  <si>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</si>
  <si>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</si>
  <si>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</si>
  <si>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</si>
  <si>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</si>
  <si>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</si>
  <si>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</si>
  <si>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</si>
  <si>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</si>
  <si>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</si>
  <si>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</si>
  <si>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</si>
  <si>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</si>
  <si>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</si>
  <si>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</si>
  <si>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</si>
  <si>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</si>
  <si>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</si>
  <si>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</si>
  <si>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</si>
  <si>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</si>
  <si>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</si>
  <si>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</si>
  <si>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</si>
  <si>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</si>
  <si>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</si>
  <si>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</si>
  <si>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</si>
  <si>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</si>
  <si>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</si>
  <si>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</si>
  <si>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</si>
  <si>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</si>
  <si>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</si>
  <si>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</si>
  <si>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</si>
  <si>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</si>
  <si>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</si>
  <si>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</si>
  <si>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</si>
  <si>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</si>
  <si>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</si>
  <si>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</si>
  <si>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</si>
  <si>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</si>
  <si>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</si>
  <si>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</si>
  <si>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</si>
  <si>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</si>
  <si>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</si>
  <si>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</si>
  <si>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</si>
  <si>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</si>
  <si>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</si>
  <si>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</si>
  <si>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</si>
  <si>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</si>
  <si>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</si>
  <si>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</si>
  <si>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</si>
  <si>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</si>
  <si>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</si>
  <si>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</si>
  <si>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</si>
  <si>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</si>
  <si>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</si>
  <si>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</si>
  <si>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</si>
  <si>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</si>
  <si>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</si>
  <si>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</si>
  <si>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</si>
  <si>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</si>
  <si>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</si>
  <si>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</si>
  <si>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</si>
  <si>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</si>
  <si>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</si>
  <si>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</si>
  <si>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</si>
  <si>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</si>
  <si>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</si>
  <si>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</si>
  <si>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</si>
  <si>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</si>
  <si>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</si>
  <si>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</si>
  <si>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</si>
  <si>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</si>
  <si>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</si>
  <si>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</si>
  <si>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</si>
  <si>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</si>
  <si>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</si>
  <si>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</si>
  <si>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</si>
  <si>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</si>
  <si>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</si>
  <si>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</si>
  <si>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</si>
  <si>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</si>
  <si>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</si>
  <si>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</si>
  <si>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</si>
  <si>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</si>
  <si>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</si>
  <si>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</si>
  <si>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</si>
  <si>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</si>
  <si>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</si>
  <si>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</si>
  <si>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</si>
  <si>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</si>
  <si>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</si>
  <si>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</si>
  <si>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</si>
  <si>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</si>
  <si>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</si>
  <si>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</si>
  <si>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</si>
  <si>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</si>
  <si>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</si>
  <si>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</si>
  <si>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</si>
  <si>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</si>
  <si>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</si>
  <si>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</si>
  <si>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</si>
  <si>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</si>
  <si>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</si>
  <si>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</si>
  <si>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</si>
  <si>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</si>
  <si>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</si>
  <si>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</si>
  <si>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</si>
  <si>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</si>
  <si>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</si>
  <si>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</si>
  <si>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</si>
  <si>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</si>
  <si>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</si>
  <si>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</si>
  <si>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</si>
  <si>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</si>
  <si>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</si>
  <si>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</si>
  <si>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</si>
  <si>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</si>
  <si>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</si>
  <si>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</si>
  <si>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</si>
  <si>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</si>
  <si>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</si>
  <si>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</si>
  <si>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</si>
  <si>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</si>
  <si>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</si>
  <si>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</si>
  <si>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</si>
  <si>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</si>
  <si>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</si>
  <si>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</si>
  <si>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</si>
  <si>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</si>
  <si>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</si>
  <si>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</si>
  <si>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</si>
  <si>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</si>
  <si>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</si>
  <si>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</si>
  <si>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</si>
  <si>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</si>
  <si>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</si>
  <si>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</si>
  <si>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</si>
  <si>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</si>
  <si>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</si>
  <si>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</si>
  <si>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</si>
  <si>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</si>
  <si>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</si>
  <si>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</si>
  <si>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</si>
  <si>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</si>
  <si>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</si>
  <si>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</si>
  <si>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</si>
  <si>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</si>
  <si>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</si>
  <si>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</si>
  <si>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</si>
  <si>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</si>
  <si>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</si>
  <si>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</si>
  <si>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</si>
  <si>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</si>
  <si>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</si>
  <si>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</si>
  <si>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</si>
  <si>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</si>
  <si>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</si>
  <si>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</si>
  <si>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</si>
  <si>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</si>
  <si>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</si>
  <si>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</si>
  <si>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</si>
  <si>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</si>
  <si>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</si>
  <si>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</si>
  <si>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</si>
  <si>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</si>
  <si>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</si>
  <si>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</si>
  <si>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</si>
  <si>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</si>
  <si>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</si>
  <si>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</si>
  <si>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</si>
  <si>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</si>
  <si>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</si>
  <si>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</si>
  <si>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</si>
  <si>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</si>
  <si>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</si>
  <si>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</si>
  <si>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</si>
  <si>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</si>
  <si>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</si>
  <si>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</si>
  <si>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</si>
  <si>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</si>
  <si>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</si>
  <si>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</si>
  <si>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</si>
  <si>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</si>
  <si>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</si>
  <si>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</si>
  <si>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</si>
  <si>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</si>
  <si>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</si>
  <si>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</si>
  <si>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</si>
  <si>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</si>
  <si>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</si>
  <si>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</si>
  <si>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</si>
  <si>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</si>
  <si>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</si>
  <si>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</si>
  <si>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</si>
  <si>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</si>
  <si>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</si>
  <si>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</si>
  <si>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</si>
  <si>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</si>
  <si>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</si>
  <si>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</si>
  <si>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</si>
  <si>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</si>
  <si>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</si>
  <si>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</si>
  <si>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</si>
  <si>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</si>
  <si>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</si>
  <si>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</si>
  <si>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</si>
  <si>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</si>
  <si>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</si>
  <si>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</si>
  <si>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</si>
  <si>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</si>
  <si>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</si>
  <si>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</si>
  <si>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</si>
  <si>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</si>
  <si>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</si>
  <si>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</si>
  <si>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</si>
  <si>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</si>
  <si>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</si>
  <si>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</si>
  <si>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</si>
  <si>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</si>
  <si>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</si>
  <si>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</si>
  <si>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</si>
  <si>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</si>
  <si>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</si>
  <si>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</si>
  <si>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</si>
  <si>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</si>
  <si>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</si>
  <si>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</si>
  <si>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</si>
  <si>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</si>
  <si>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</si>
  <si>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</si>
  <si>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</si>
  <si>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</si>
  <si>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</si>
  <si>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</si>
  <si>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</si>
  <si>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</si>
  <si>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</si>
  <si>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</si>
  <si>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</si>
  <si>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</si>
  <si>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</si>
  <si>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</si>
  <si>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</si>
  <si>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</si>
  <si>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</si>
  <si>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</si>
  <si>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</si>
  <si>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</si>
  <si>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</si>
  <si>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</si>
  <si>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</si>
  <si>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</si>
  <si>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</si>
  <si>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</si>
  <si>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</si>
  <si>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</si>
  <si>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</si>
  <si>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</si>
  <si>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</si>
  <si>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</si>
  <si>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</si>
  <si>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</si>
  <si>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</si>
  <si>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</si>
  <si>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</si>
  <si>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</si>
  <si>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</si>
  <si>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</si>
  <si>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</si>
  <si>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</si>
  <si>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</si>
  <si>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</si>
  <si>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</si>
  <si>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</si>
  <si>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</si>
  <si>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</si>
  <si>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</si>
  <si>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</si>
  <si>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</si>
  <si>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</si>
  <si>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</si>
  <si>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</si>
  <si>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</si>
  <si>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</si>
  <si>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</si>
  <si>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</si>
  <si>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</si>
  <si>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</si>
  <si>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</si>
  <si>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</si>
  <si>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</si>
  <si>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</si>
  <si>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</si>
  <si>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</si>
  <si>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</si>
  <si>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</si>
  <si>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</si>
  <si>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</si>
  <si>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</si>
  <si>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</si>
  <si>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</si>
  <si>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</si>
  <si>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</si>
  <si>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</si>
  <si>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</si>
  <si>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</si>
  <si>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</si>
  <si>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</si>
  <si>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</si>
  <si>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</si>
  <si>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</si>
  <si>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</si>
  <si>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</si>
  <si>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</si>
  <si>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</si>
  <si>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</si>
  <si>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</si>
  <si>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</si>
  <si>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</si>
  <si>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</si>
  <si>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</si>
  <si>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</si>
  <si>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</si>
  <si>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</si>
  <si>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</si>
  <si>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</si>
  <si>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</si>
  <si>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</si>
  <si>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</si>
  <si>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</si>
  <si>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</si>
  <si>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</si>
  <si>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</si>
  <si>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</si>
  <si>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</si>
  <si>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</si>
  <si>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</si>
  <si>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</si>
  <si>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</si>
  <si>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</si>
  <si>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</si>
  <si>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</si>
  <si>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</si>
  <si>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</si>
  <si>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</si>
  <si>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</si>
  <si>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</si>
  <si>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</si>
  <si>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</si>
  <si>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</si>
  <si>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</si>
  <si>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</si>
  <si>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</si>
  <si>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</si>
  <si>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</si>
  <si>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</si>
  <si>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</si>
  <si>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</si>
  <si>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</si>
  <si>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</si>
  <si>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</si>
  <si>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</si>
  <si>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</si>
  <si>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</si>
  <si>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</si>
  <si>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</si>
  <si>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</si>
  <si>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</si>
  <si>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</si>
  <si>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</si>
  <si>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</si>
  <si>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</si>
  <si>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</si>
  <si>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</si>
  <si>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</si>
  <si>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</si>
  <si>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</si>
  <si>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</si>
  <si>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</si>
  <si>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</si>
  <si>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</si>
  <si>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</si>
  <si>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</si>
  <si>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</si>
  <si>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</si>
  <si>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</si>
  <si>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</si>
  <si>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</si>
  <si>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</si>
  <si>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</si>
  <si>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</si>
  <si>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</si>
  <si>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</si>
  <si>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</si>
  <si>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</si>
  <si>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</si>
  <si>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</si>
  <si>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</si>
  <si>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</si>
  <si>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</si>
  <si>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</si>
  <si>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</si>
  <si>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</si>
  <si>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</si>
  <si>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</si>
  <si>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</si>
  <si>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</si>
  <si>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</si>
  <si>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</si>
  <si>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</si>
  <si>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</si>
  <si>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</si>
  <si>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</si>
  <si>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</si>
  <si>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</si>
  <si>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</si>
  <si>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</si>
  <si>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</si>
  <si>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</si>
  <si>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</si>
  <si>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</si>
  <si>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</si>
  <si>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</si>
  <si>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</si>
  <si>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</si>
  <si>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</si>
  <si>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</si>
  <si>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</si>
  <si>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</si>
  <si>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</si>
  <si>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</si>
  <si>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</si>
  <si>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</si>
  <si>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</si>
  <si>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</si>
  <si>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</si>
  <si>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</si>
  <si>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</si>
  <si>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</si>
  <si>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</si>
  <si>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</si>
  <si>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</si>
  <si>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</si>
  <si>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</si>
  <si>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</si>
  <si>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</si>
  <si>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</si>
  <si>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</si>
  <si>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</si>
  <si>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</si>
  <si>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</si>
  <si>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</si>
  <si>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</si>
  <si>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</si>
  <si>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</si>
  <si>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</si>
  <si>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</si>
  <si>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</si>
  <si>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</si>
  <si>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</si>
  <si>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</si>
  <si>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</si>
  <si>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</si>
  <si>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</si>
  <si>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</si>
  <si>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</si>
  <si>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</si>
  <si>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</si>
  <si>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</si>
  <si>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</si>
  <si>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</si>
  <si>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</si>
  <si>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</si>
  <si>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</si>
  <si>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</si>
  <si>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</si>
  <si>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</si>
  <si>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</si>
  <si>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</si>
  <si>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</si>
  <si>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</si>
  <si>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</si>
  <si>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</si>
  <si>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</si>
  <si>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</si>
  <si>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</si>
  <si>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</si>
  <si>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</si>
  <si>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</si>
  <si>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</si>
  <si>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</si>
  <si>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</si>
  <si>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</si>
  <si>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</si>
  <si>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</si>
  <si>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</si>
  <si>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</si>
  <si>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</si>
  <si>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</si>
  <si>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</si>
  <si>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</si>
  <si>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</si>
  <si>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</si>
  <si>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</si>
  <si>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</si>
  <si>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</si>
  <si>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</si>
  <si>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</si>
  <si>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</si>
  <si>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</si>
  <si>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</si>
  <si>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</si>
  <si>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</si>
  <si>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</si>
  <si>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</si>
  <si>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</si>
  <si>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</si>
  <si>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</si>
  <si>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</si>
  <si>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</si>
  <si>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</si>
  <si>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</si>
  <si>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</si>
  <si>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</si>
  <si>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</si>
  <si>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</si>
  <si>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</si>
  <si>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</si>
  <si>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</si>
  <si>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</si>
  <si>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</si>
  <si>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</si>
  <si>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</si>
  <si>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</si>
  <si>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</si>
  <si>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</si>
  <si>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</si>
  <si>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</si>
  <si>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</si>
  <si>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</si>
  <si>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</si>
  <si>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</si>
  <si>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</si>
  <si>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</si>
  <si>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</si>
  <si>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</si>
  <si>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</si>
  <si>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</si>
  <si>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</si>
  <si>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</si>
  <si>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</si>
  <si>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</si>
  <si>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</si>
  <si>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</si>
  <si>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</si>
  <si>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</si>
  <si>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</si>
  <si>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</si>
  <si>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</si>
  <si>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</si>
  <si>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</si>
  <si>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</si>
  <si>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</si>
  <si>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</si>
  <si>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</si>
  <si>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</si>
  <si>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</si>
  <si>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</si>
  <si>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</si>
  <si>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</si>
  <si>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</si>
  <si>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</si>
  <si>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</si>
  <si>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</si>
  <si>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</si>
  <si>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</si>
  <si>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</si>
  <si>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</si>
  <si>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</si>
  <si>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</si>
  <si>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</si>
  <si>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</si>
  <si>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</si>
  <si>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</si>
  <si>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</si>
  <si>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</si>
  <si>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</si>
  <si>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</si>
  <si>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</si>
  <si>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</si>
  <si>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</si>
  <si>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</si>
  <si>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</si>
  <si>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</si>
  <si>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</si>
  <si>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</si>
  <si>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</si>
  <si>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</si>
  <si>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</si>
  <si>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</si>
  <si>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</si>
  <si>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</si>
  <si>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</si>
  <si>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</si>
  <si>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</si>
  <si>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</si>
  <si>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</si>
  <si>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</si>
  <si>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</si>
  <si>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</si>
  <si>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</si>
  <si>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</si>
  <si>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</si>
  <si>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</si>
  <si>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</si>
  <si>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</si>
  <si>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</si>
  <si>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</si>
  <si>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</si>
  <si>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</si>
  <si>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</si>
  <si>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</si>
  <si>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</si>
  <si>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</si>
  <si>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</si>
  <si>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</si>
  <si>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</si>
  <si>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</si>
  <si>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</si>
  <si>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</si>
  <si>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</si>
  <si>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</si>
  <si>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</si>
  <si>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</si>
  <si>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</si>
  <si>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</si>
  <si>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</si>
  <si>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</si>
  <si>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</si>
  <si>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</si>
  <si>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</si>
  <si>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</si>
  <si>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</si>
  <si>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</si>
  <si>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</si>
  <si>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</si>
  <si>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</si>
  <si>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</si>
  <si>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</si>
  <si>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</si>
  <si>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</si>
  <si>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</si>
  <si>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</si>
  <si>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</si>
  <si>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</si>
  <si>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</si>
  <si>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</si>
  <si>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</si>
  <si>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</si>
  <si>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</si>
  <si>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</si>
  <si>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</si>
  <si>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</si>
  <si>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</si>
  <si>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</si>
  <si>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</si>
  <si>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</si>
  <si>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</si>
  <si>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</si>
  <si>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</si>
  <si>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</si>
  <si>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</si>
  <si>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</si>
  <si>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</si>
  <si>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</si>
  <si>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</si>
  <si>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</si>
  <si>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</si>
  <si>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</si>
  <si>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</si>
  <si>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</si>
  <si>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</si>
  <si>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</si>
  <si>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</si>
  <si>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</si>
  <si>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</si>
  <si>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</si>
  <si>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</si>
  <si>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</si>
  <si>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</si>
  <si>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</si>
  <si>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</si>
  <si>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</si>
  <si>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</si>
  <si>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</si>
  <si>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</si>
  <si>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</si>
  <si>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</si>
  <si>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</si>
  <si>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</si>
  <si>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</si>
  <si>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</si>
  <si>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</si>
  <si>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</si>
  <si>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</si>
  <si>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</si>
  <si>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</si>
  <si>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</si>
  <si>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</si>
  <si>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</si>
  <si>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</si>
  <si>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</si>
  <si>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</si>
  <si>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</si>
  <si>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</si>
  <si>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</si>
  <si>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</si>
  <si>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</si>
  <si>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</si>
  <si>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</si>
  <si>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</si>
  <si>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</si>
  <si>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</si>
  <si>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</si>
  <si>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</si>
  <si>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</si>
  <si>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</si>
  <si>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</si>
  <si>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</si>
  <si>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</si>
  <si>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</si>
  <si>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</si>
  <si>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</si>
  <si>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</si>
  <si>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</si>
  <si>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</si>
  <si>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</si>
  <si>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</si>
  <si>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</si>
  <si>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</si>
  <si>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</si>
  <si>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</si>
  <si>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</si>
  <si>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</si>
  <si>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</si>
  <si>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</si>
  <si>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</si>
  <si>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</si>
  <si>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</si>
  <si>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</si>
  <si>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</si>
  <si>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</si>
  <si>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</si>
  <si>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</si>
  <si>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</si>
  <si>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</si>
  <si>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</si>
  <si>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</si>
  <si>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</si>
  <si>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</si>
  <si>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</si>
  <si>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</si>
  <si>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</si>
  <si>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</si>
  <si>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</si>
  <si>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</si>
  <si>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</si>
  <si>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</si>
  <si>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</si>
  <si>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</si>
  <si>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</si>
  <si>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</si>
  <si>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</si>
  <si>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</si>
  <si>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</si>
  <si>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</si>
  <si>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</si>
  <si>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</si>
  <si>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</si>
  <si>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</si>
  <si>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</si>
  <si>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</si>
  <si>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</si>
  <si>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</si>
  <si>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</si>
  <si>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</si>
  <si>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</si>
  <si>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</si>
  <si>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</si>
  <si>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</si>
  <si>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</si>
  <si>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</si>
  <si>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</si>
  <si>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</si>
  <si>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</si>
  <si>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</si>
  <si>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</si>
  <si>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</si>
  <si>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</si>
  <si>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</si>
  <si>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</si>
  <si>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</si>
  <si>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</si>
  <si>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</si>
  <si>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</si>
  <si>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</si>
  <si>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</si>
  <si>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</si>
  <si>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</si>
  <si>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</si>
  <si>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</si>
  <si>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</si>
  <si>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</si>
  <si>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</si>
  <si>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</si>
  <si>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</si>
  <si>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</si>
  <si>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</si>
  <si>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</si>
  <si>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</si>
  <si>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</si>
  <si>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</si>
  <si>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</si>
  <si>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</si>
  <si>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</si>
  <si>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</si>
  <si>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</si>
  <si>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</si>
  <si>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</si>
  <si>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</si>
  <si>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</si>
  <si>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</si>
  <si>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</si>
  <si>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</si>
  <si>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</si>
  <si>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</si>
  <si>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</si>
  <si>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</si>
  <si>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</si>
  <si>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</si>
  <si>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</si>
  <si>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</si>
  <si>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</si>
  <si>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</si>
  <si>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</si>
  <si>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</si>
  <si>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</si>
  <si>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</si>
  <si>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</si>
  <si>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</si>
  <si>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</si>
  <si>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</si>
  <si>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</si>
  <si>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</si>
  <si>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</si>
  <si>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</si>
  <si>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</si>
  <si>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</si>
  <si>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</si>
  <si>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</si>
  <si>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</si>
  <si>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</si>
  <si>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</si>
  <si>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</si>
  <si>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</si>
  <si>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</si>
  <si>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</si>
  <si>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</si>
  <si>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</si>
  <si>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</si>
  <si>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</si>
  <si>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</si>
  <si>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</si>
  <si>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</si>
  <si>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</si>
  <si>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</si>
  <si>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</si>
  <si>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</si>
  <si>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</si>
  <si>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</si>
  <si>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</si>
  <si>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</si>
  <si>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</si>
  <si>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</si>
  <si>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</si>
  <si>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</si>
  <si>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</si>
  <si>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</si>
  <si>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</si>
  <si>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</si>
  <si>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</si>
  <si>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</si>
  <si>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</si>
  <si>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</si>
  <si>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</si>
  <si>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</si>
  <si>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</si>
  <si>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</si>
  <si>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</si>
  <si>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</si>
  <si>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</si>
  <si>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</si>
  <si>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</si>
  <si>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</si>
  <si>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</si>
  <si>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</si>
  <si>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</si>
  <si>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</si>
  <si>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</si>
  <si>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</si>
  <si>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</si>
  <si>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</si>
  <si>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</si>
  <si>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</si>
  <si>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</si>
  <si>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</si>
  <si>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</si>
  <si>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</si>
  <si>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</si>
  <si>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</si>
  <si>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</si>
  <si>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</si>
  <si>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</si>
  <si>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</si>
  <si>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</si>
  <si>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</si>
  <si>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</si>
  <si>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</si>
  <si>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</si>
  <si>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</si>
  <si>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</si>
  <si>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</si>
  <si>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</si>
  <si>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</si>
  <si>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</si>
  <si>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</si>
  <si>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</si>
  <si>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</si>
  <si>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</si>
  <si>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</si>
  <si>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</si>
  <si>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</si>
  <si>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</si>
  <si>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</si>
  <si>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</si>
  <si>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</si>
  <si>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</si>
  <si>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</si>
  <si>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</si>
  <si>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</si>
  <si>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</si>
  <si>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</si>
  <si>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</si>
  <si>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</si>
  <si>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</si>
  <si>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</si>
  <si>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</si>
  <si>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</si>
  <si>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</si>
  <si>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</si>
  <si>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</si>
  <si>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</si>
  <si>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</si>
  <si>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</si>
  <si>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</si>
  <si>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</si>
  <si>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</si>
  <si>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</si>
  <si>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</si>
  <si>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</si>
  <si>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</si>
  <si>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</si>
  <si>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</si>
  <si>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</si>
  <si>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</si>
  <si>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</si>
  <si>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</si>
  <si>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</si>
  <si>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</si>
  <si>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</si>
  <si>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</si>
  <si>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</si>
  <si>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</si>
  <si>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</si>
  <si>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</si>
  <si>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</si>
  <si>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</si>
  <si>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</si>
  <si>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</si>
  <si>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</si>
  <si>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</si>
  <si>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</si>
  <si>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</si>
  <si>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</si>
  <si>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</si>
  <si>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</si>
  <si>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</si>
  <si>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</si>
  <si>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</si>
  <si>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</si>
  <si>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</si>
  <si>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</si>
  <si>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</si>
  <si>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</si>
  <si>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</si>
  <si>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</si>
  <si>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</si>
  <si>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</si>
  <si>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</si>
  <si>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</si>
  <si>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</si>
  <si>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</si>
  <si>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</si>
  <si>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</si>
  <si>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</si>
  <si>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</si>
  <si>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</si>
  <si>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</si>
  <si>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</si>
  <si>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</si>
  <si>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</si>
  <si>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</si>
  <si>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</si>
  <si>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</si>
  <si>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</si>
  <si>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</si>
  <si>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</si>
  <si>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</si>
  <si>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</si>
  <si>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</si>
  <si>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</si>
  <si>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</si>
  <si>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</si>
  <si>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</si>
  <si>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</si>
  <si>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</si>
  <si>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</si>
  <si>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</si>
  <si>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</si>
  <si>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</si>
  <si>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</si>
  <si>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</si>
  <si>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</si>
  <si>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</si>
  <si>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</si>
  <si>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</si>
  <si>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</si>
  <si>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</si>
  <si>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</si>
  <si>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</si>
  <si>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</si>
  <si>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</si>
  <si>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</si>
  <si>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</si>
  <si>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</si>
  <si>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</si>
  <si>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</si>
  <si>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</si>
  <si>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</si>
  <si>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</si>
  <si>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</si>
  <si>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</si>
  <si>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</si>
  <si>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</si>
  <si>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</si>
  <si>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</si>
  <si>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</si>
  <si>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</si>
  <si>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</si>
  <si>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</si>
  <si>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</si>
  <si>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</si>
  <si>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</si>
  <si>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</si>
  <si>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</si>
  <si>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</si>
  <si>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</si>
  <si>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</si>
  <si>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</si>
  <si>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</si>
  <si>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</si>
  <si>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</si>
  <si>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</si>
  <si>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</si>
  <si>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</si>
  <si>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</si>
  <si>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</si>
  <si>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</si>
  <si>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</si>
  <si>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</si>
  <si>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</si>
  <si>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</si>
  <si>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</si>
  <si>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</si>
  <si>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</si>
  <si>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</si>
  <si>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</si>
  <si>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</si>
  <si>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</si>
  <si>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</si>
  <si>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</si>
  <si>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</si>
  <si>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</si>
  <si>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</si>
  <si>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</si>
  <si>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</si>
  <si>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</si>
  <si>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</si>
  <si>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</si>
  <si>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</si>
  <si>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</si>
  <si>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</si>
  <si>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</si>
  <si>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</si>
  <si>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</si>
  <si>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</si>
  <si>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</si>
  <si>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</si>
  <si>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</si>
  <si>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</si>
  <si>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</si>
  <si>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</si>
  <si>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</si>
  <si>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</si>
  <si>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</si>
  <si>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</si>
  <si>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</si>
  <si>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</si>
  <si>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</si>
  <si>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</si>
  <si>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</si>
  <si>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</si>
  <si>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</si>
  <si>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</si>
  <si>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</si>
  <si>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</si>
  <si>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</si>
  <si>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</si>
  <si>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</si>
  <si>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</si>
  <si>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</si>
  <si>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</si>
  <si>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</si>
  <si>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</si>
  <si>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</si>
  <si>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</si>
  <si>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</si>
  <si>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</si>
  <si>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</si>
  <si>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</si>
  <si>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</si>
  <si>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</si>
  <si>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</si>
  <si>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</si>
  <si>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</si>
  <si>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</si>
  <si>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</si>
  <si>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</si>
  <si>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</si>
  <si>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</si>
  <si>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</si>
  <si>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</si>
  <si>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</si>
  <si>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</si>
  <si>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</si>
  <si>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</si>
  <si>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</si>
  <si>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</si>
  <si>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</si>
  <si>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</si>
  <si>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</si>
  <si>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</si>
  <si>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</si>
  <si>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</si>
  <si>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</si>
  <si>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</si>
  <si>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</si>
  <si>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</si>
  <si>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</si>
  <si>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</si>
  <si>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</si>
  <si>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</si>
  <si>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</si>
  <si>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</si>
  <si>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</si>
  <si>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</si>
  <si>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</si>
  <si>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</si>
  <si>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</si>
  <si>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</si>
  <si>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</si>
  <si>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</si>
  <si>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</si>
  <si>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</si>
  <si>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</si>
  <si>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</si>
  <si>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</si>
  <si>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</si>
  <si>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</si>
  <si>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</si>
  <si>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</si>
  <si>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</si>
  <si>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</si>
  <si>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</si>
  <si>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</si>
  <si>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</si>
  <si>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</si>
  <si>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</si>
  <si>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</si>
  <si>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</si>
  <si>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</si>
  <si>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</si>
  <si>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</si>
  <si>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</si>
  <si>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</si>
  <si>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</si>
  <si>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</si>
  <si>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</si>
  <si>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</si>
  <si>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</si>
  <si>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</si>
  <si>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</si>
  <si>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</si>
  <si>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</si>
  <si>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</si>
  <si>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</si>
  <si>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</si>
  <si>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</si>
  <si>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</si>
  <si>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</si>
  <si>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</si>
  <si>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</si>
  <si>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</si>
  <si>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</si>
  <si>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</si>
  <si>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</si>
  <si>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</si>
  <si>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</si>
  <si>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</si>
  <si>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</si>
  <si>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</si>
  <si>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</si>
  <si>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</si>
  <si>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</si>
  <si>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</si>
  <si>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</si>
  <si>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</si>
  <si>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</si>
  <si>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</si>
  <si>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</si>
  <si>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</si>
  <si>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</si>
  <si>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</si>
  <si>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</si>
  <si>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</si>
  <si>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</si>
  <si>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</si>
  <si>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</si>
  <si>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</si>
  <si>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</si>
  <si>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</si>
  <si>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</si>
  <si>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</si>
  <si>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</si>
  <si>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</si>
  <si>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</si>
  <si>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</si>
  <si>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</si>
  <si>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</si>
  <si>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</si>
  <si>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</si>
  <si>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</si>
  <si>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</si>
  <si>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</si>
  <si>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</si>
  <si>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</si>
  <si>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</si>
  <si>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</si>
  <si>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</si>
  <si>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</si>
  <si>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</si>
  <si>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</si>
  <si>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</si>
  <si>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</si>
  <si>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</si>
  <si>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</si>
  <si>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</si>
  <si>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</si>
  <si>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</si>
  <si>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</si>
  <si>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</si>
  <si>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</si>
  <si>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</si>
  <si>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</si>
  <si>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</si>
  <si>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</si>
  <si>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</si>
  <si>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</si>
  <si>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</si>
  <si>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</si>
  <si>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</si>
  <si>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</si>
  <si>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</si>
  <si>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</si>
  <si>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</si>
  <si>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</si>
  <si>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</si>
  <si>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</si>
  <si>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</si>
  <si>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</si>
  <si>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</si>
  <si>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</si>
  <si>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</si>
  <si>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</si>
  <si>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</si>
  <si>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</si>
  <si>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</si>
  <si>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</si>
  <si>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</si>
  <si>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</si>
  <si>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</si>
  <si>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</si>
  <si>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</si>
  <si>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</si>
  <si>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</si>
  <si>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</si>
  <si>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</si>
  <si>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</si>
  <si>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</si>
  <si>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</si>
  <si>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</si>
  <si>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</si>
  <si>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</si>
  <si>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</si>
  <si>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</si>
  <si>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</si>
  <si>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</si>
  <si>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</si>
  <si>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</si>
  <si>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</si>
  <si>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</si>
  <si>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</si>
  <si>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</si>
  <si>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</si>
  <si>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</si>
  <si>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</si>
  <si>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</si>
  <si>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</si>
  <si>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</si>
  <si>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</si>
  <si>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</si>
  <si>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</si>
  <si>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</si>
  <si>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</si>
  <si>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</si>
  <si>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</si>
  <si>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</si>
  <si>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</si>
  <si>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</si>
  <si>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</si>
  <si>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</si>
  <si>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</si>
  <si>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</si>
  <si>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</si>
  <si>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</si>
  <si>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</si>
  <si>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</si>
  <si>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</si>
  <si>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</si>
  <si>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</si>
  <si>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</si>
  <si>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</si>
  <si>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</si>
  <si>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</si>
  <si>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</si>
  <si>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</si>
  <si>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</si>
  <si>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</si>
  <si>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</si>
  <si>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</si>
  <si>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</si>
  <si>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</si>
  <si>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</si>
  <si>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</si>
  <si>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</si>
  <si>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</si>
  <si>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</si>
  <si>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</si>
  <si>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</si>
  <si>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</si>
  <si>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</si>
  <si>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</si>
  <si>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</si>
  <si>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</si>
  <si>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</si>
  <si>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</si>
  <si>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</si>
  <si>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</si>
  <si>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</si>
  <si>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</si>
  <si>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</si>
  <si>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</si>
  <si>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</si>
  <si>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</si>
  <si>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</si>
  <si>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</si>
  <si>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</si>
  <si>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</si>
  <si>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</si>
  <si>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</si>
  <si>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</si>
  <si>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</si>
  <si>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</si>
  <si>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</si>
  <si>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</si>
  <si>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</si>
  <si>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</si>
  <si>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</si>
  <si>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</si>
  <si>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</si>
  <si>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</si>
  <si>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</si>
  <si>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</si>
  <si>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</si>
  <si>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</si>
  <si>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</si>
  <si>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</si>
  <si>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</si>
  <si>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</si>
  <si>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</si>
  <si>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</si>
  <si>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</si>
  <si>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</si>
  <si>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</si>
  <si>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</si>
  <si>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</si>
  <si>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</si>
  <si>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</si>
  <si>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</si>
  <si>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</si>
  <si>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</si>
  <si>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</si>
  <si>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</si>
  <si>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</si>
  <si>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</si>
  <si>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</si>
  <si>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</si>
  <si>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</si>
  <si>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</si>
  <si>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</si>
  <si>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</si>
  <si>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</si>
  <si>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</si>
  <si>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</si>
  <si>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</si>
  <si>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</si>
  <si>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</si>
  <si>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</si>
  <si>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</si>
  <si>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</si>
  <si>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</si>
  <si>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</si>
  <si>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</si>
  <si>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</si>
  <si>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</si>
  <si>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</si>
  <si>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</si>
  <si>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</si>
  <si>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</si>
  <si>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</si>
  <si>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</si>
  <si>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</si>
  <si>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</si>
  <si>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</si>
  <si>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</si>
  <si>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</si>
  <si>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</si>
  <si>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</si>
  <si>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</si>
  <si>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</si>
  <si>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</si>
  <si>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</si>
  <si>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</si>
  <si>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</si>
  <si>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</si>
  <si>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</si>
  <si>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</si>
  <si>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</si>
  <si>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</si>
  <si>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</si>
  <si>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</si>
  <si>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</si>
  <si>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</si>
  <si>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</si>
  <si>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</si>
  <si>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</si>
  <si>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</si>
  <si>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</si>
  <si>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</si>
  <si>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</si>
  <si>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</si>
  <si>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</si>
  <si>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</si>
  <si>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</si>
  <si>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</si>
  <si>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</si>
  <si>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</si>
  <si>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</si>
  <si>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</si>
  <si>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</si>
  <si>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</si>
  <si>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</si>
  <si>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</si>
  <si>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</si>
  <si>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</si>
  <si>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</si>
  <si>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</si>
  <si>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</si>
  <si>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</si>
  <si>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</si>
  <si>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</si>
  <si>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</si>
  <si>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</si>
  <si>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</si>
  <si>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</si>
  <si>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</si>
  <si>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</si>
  <si>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</si>
  <si>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</si>
  <si>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</si>
  <si>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</si>
  <si>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</si>
  <si>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</si>
  <si>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</si>
  <si>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</si>
  <si>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</si>
  <si>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</si>
  <si>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</si>
  <si>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</si>
  <si>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</si>
  <si>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</si>
  <si>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</si>
  <si>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</si>
  <si>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</si>
  <si>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</si>
  <si>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</si>
  <si>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</si>
  <si>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</si>
  <si>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</si>
  <si>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</si>
  <si>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</si>
  <si>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</si>
  <si>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</si>
  <si>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</si>
  <si>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</si>
  <si>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</si>
  <si>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</si>
  <si>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</si>
  <si>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</si>
  <si>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</si>
  <si>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</si>
  <si>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</si>
  <si>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</si>
  <si>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</si>
  <si>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</si>
  <si>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</si>
  <si>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</si>
  <si>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</si>
  <si>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</si>
  <si>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</si>
  <si>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</si>
  <si>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</si>
  <si>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</si>
  <si>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</si>
  <si>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</si>
  <si>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</si>
  <si>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</si>
  <si>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</si>
  <si>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</si>
  <si>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</si>
  <si>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</si>
  <si>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</si>
  <si>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</si>
  <si>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</si>
  <si>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</si>
  <si>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</si>
  <si>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</si>
  <si>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</si>
  <si>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</si>
  <si>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</si>
  <si>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</si>
  <si>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</si>
  <si>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</si>
  <si>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</si>
  <si>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</si>
  <si>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</si>
  <si>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</si>
  <si>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</si>
  <si>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</si>
  <si>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</si>
  <si>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</si>
  <si>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</si>
  <si>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</si>
  <si>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</si>
  <si>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</si>
  <si>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</si>
  <si>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</si>
  <si>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</si>
  <si>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</si>
  <si>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</si>
  <si>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</si>
  <si>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</si>
  <si>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</si>
  <si>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</si>
  <si>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</si>
  <si>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</si>
  <si>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</si>
  <si>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</si>
  <si>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</si>
  <si>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</si>
  <si>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</si>
  <si>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</si>
  <si>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</si>
  <si>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</si>
  <si>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</si>
  <si>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</si>
  <si>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</si>
  <si>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</si>
  <si>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</si>
  <si>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</si>
  <si>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</si>
  <si>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</si>
  <si>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</si>
  <si>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</si>
  <si>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</si>
  <si>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</si>
  <si>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</si>
  <si>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</si>
  <si>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</si>
  <si>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</si>
  <si>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</si>
  <si>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</si>
  <si>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</si>
  <si>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</si>
  <si>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</si>
  <si>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</si>
  <si>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</si>
  <si>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</si>
  <si>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</si>
  <si>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</si>
  <si>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</si>
  <si>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</si>
  <si>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</si>
  <si>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</si>
  <si>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</si>
  <si>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</si>
  <si>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</si>
  <si>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</si>
  <si>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</si>
  <si>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</si>
  <si>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</si>
  <si>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</si>
  <si>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</si>
  <si>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</si>
  <si>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</si>
  <si>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</si>
  <si>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</si>
  <si>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</si>
  <si>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</si>
  <si>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</si>
  <si>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</si>
  <si>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</si>
  <si>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</si>
  <si>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</si>
  <si>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</si>
  <si>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</si>
  <si>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</si>
  <si>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</si>
  <si>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</si>
  <si>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</si>
  <si>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</si>
  <si>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</si>
  <si>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</si>
  <si>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</si>
  <si>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</si>
  <si>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</si>
  <si>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</si>
  <si>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</si>
  <si>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</si>
  <si>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</si>
  <si>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</si>
  <si>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</si>
  <si>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</si>
  <si>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</si>
  <si>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</si>
  <si>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</si>
  <si>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</si>
  <si>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</si>
  <si>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</si>
  <si>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</si>
  <si>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</si>
  <si>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</si>
  <si>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</si>
  <si>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</si>
  <si>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</si>
  <si>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</si>
  <si>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</si>
  <si>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</si>
  <si>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</si>
  <si>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</si>
  <si>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</si>
  <si>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</si>
  <si>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</si>
  <si>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</si>
  <si>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</si>
  <si>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</si>
  <si>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</si>
  <si>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</si>
  <si>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</si>
  <si>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</si>
  <si>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</si>
  <si>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</si>
  <si>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</si>
  <si>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</si>
  <si>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</si>
  <si>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</si>
  <si>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</si>
  <si>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</si>
  <si>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</si>
  <si>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</si>
  <si>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</si>
  <si>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</si>
  <si>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</si>
  <si>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</si>
  <si>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</si>
  <si>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</si>
  <si>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</si>
  <si>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</si>
  <si>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</si>
  <si>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</si>
  <si>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</si>
  <si>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</si>
  <si>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</si>
  <si>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</si>
  <si>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</si>
  <si>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</si>
  <si>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</si>
  <si>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</si>
  <si>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</si>
  <si>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</si>
  <si>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</si>
  <si>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</si>
  <si>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</si>
  <si>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</si>
  <si>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</si>
  <si>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</si>
  <si>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</si>
  <si>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</si>
  <si>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</si>
  <si>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</si>
  <si>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</si>
  <si>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</si>
  <si>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</si>
  <si>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</si>
  <si>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</si>
  <si>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</si>
  <si>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</si>
  <si>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</si>
  <si>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</si>
  <si>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</si>
  <si>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</si>
  <si>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</si>
  <si>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</si>
  <si>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</si>
  <si>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</si>
  <si>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</si>
  <si>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</si>
  <si>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</si>
  <si>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</si>
  <si>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</si>
  <si>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</si>
  <si>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</si>
  <si>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</si>
  <si>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</si>
  <si>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</si>
  <si>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</si>
  <si>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</si>
  <si>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</si>
  <si>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</si>
  <si>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</si>
  <si>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</si>
  <si>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</si>
  <si>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</si>
  <si>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</si>
  <si>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</si>
  <si>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</si>
  <si>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</si>
  <si>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</si>
  <si>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</si>
  <si>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</si>
  <si>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</si>
  <si>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</si>
  <si>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</si>
  <si>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</si>
  <si>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</si>
  <si>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</si>
  <si>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</si>
  <si>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</si>
  <si>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</si>
  <si>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</si>
  <si>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</si>
  <si>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</si>
  <si>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</si>
  <si>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</si>
  <si>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</si>
  <si>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</si>
  <si>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</si>
  <si>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</si>
  <si>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</si>
  <si>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</si>
  <si>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</si>
  <si>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</si>
  <si>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</si>
  <si>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</si>
  <si>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</si>
  <si>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</si>
  <si>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</si>
  <si>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</si>
  <si>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</si>
  <si>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</si>
  <si>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</si>
  <si>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</si>
  <si>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</si>
  <si>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</si>
  <si>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</si>
  <si>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</si>
  <si>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</si>
  <si>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</si>
  <si>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</si>
  <si>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</si>
  <si>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</si>
  <si>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</si>
  <si>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</si>
  <si>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</si>
  <si>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</si>
  <si>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</si>
  <si>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</si>
  <si>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</si>
  <si>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</si>
  <si>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</si>
  <si>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</si>
  <si>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</si>
  <si>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</si>
  <si>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</si>
  <si>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</si>
  <si>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</si>
  <si>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</si>
  <si>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</si>
  <si>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</si>
  <si>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</si>
  <si>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</si>
  <si>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</si>
  <si>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</si>
  <si>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</si>
  <si>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</si>
  <si>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</si>
  <si>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</si>
  <si>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</si>
  <si>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</si>
  <si>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</si>
  <si>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</si>
  <si>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</si>
  <si>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</si>
  <si>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</si>
  <si>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</si>
  <si>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</si>
  <si>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</si>
  <si>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</si>
  <si>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</si>
  <si>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</si>
  <si>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</si>
  <si>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</si>
  <si>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</si>
  <si>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</si>
  <si>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</si>
  <si>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</si>
  <si>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</si>
  <si>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</si>
  <si>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</si>
  <si>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</si>
  <si>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</si>
  <si>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</si>
  <si>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</si>
  <si>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</si>
  <si>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</si>
  <si>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</si>
  <si>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</si>
  <si>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</si>
  <si>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</si>
  <si>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</si>
  <si>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</si>
  <si>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</si>
  <si>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</si>
  <si>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</si>
  <si>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</si>
  <si>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</si>
  <si>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</si>
  <si>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</si>
  <si>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</si>
  <si>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</si>
  <si>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</si>
  <si>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</si>
  <si>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</si>
  <si>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</si>
  <si>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</si>
  <si>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</si>
  <si>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</si>
  <si>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</si>
  <si>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</si>
  <si>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</si>
  <si>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</si>
  <si>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</si>
  <si>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</si>
  <si>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</si>
  <si>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</si>
  <si>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</si>
  <si>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</si>
  <si>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</si>
  <si>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</si>
  <si>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</si>
  <si>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</si>
  <si>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</si>
  <si>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</si>
  <si>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</si>
  <si>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</si>
  <si>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</si>
  <si>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</si>
  <si>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</si>
  <si>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</si>
  <si>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</si>
  <si>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</si>
  <si>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</si>
  <si>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</si>
  <si>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</si>
  <si>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</si>
  <si>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</si>
  <si>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</si>
  <si>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</si>
  <si>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</si>
  <si>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</si>
  <si>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</si>
  <si>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</si>
  <si>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</si>
  <si>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</si>
  <si>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</si>
  <si>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</si>
  <si>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</si>
  <si>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</si>
  <si>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</si>
  <si>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</si>
  <si>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</si>
  <si>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</si>
  <si>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</si>
  <si>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</si>
  <si>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</si>
  <si>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</si>
  <si>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</si>
  <si>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</si>
  <si>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</si>
  <si>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</si>
  <si>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</si>
  <si>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</si>
  <si>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</si>
  <si>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</si>
  <si>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</si>
  <si>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</si>
  <si>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</si>
  <si>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</si>
  <si>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</si>
  <si>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</si>
  <si>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</si>
  <si>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</si>
  <si>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</si>
  <si>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</si>
  <si>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</si>
  <si>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</si>
  <si>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</si>
  <si>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</si>
  <si>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</si>
  <si>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</si>
  <si>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</si>
  <si>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</si>
  <si>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</si>
  <si>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</si>
  <si>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</si>
  <si>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</si>
  <si>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</si>
  <si>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</si>
  <si>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</si>
  <si>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</si>
  <si>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</si>
  <si>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</si>
  <si>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</si>
  <si>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</si>
  <si>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</si>
  <si>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</si>
  <si>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</si>
  <si>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</si>
  <si>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</si>
  <si>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</si>
  <si>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</si>
  <si>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</si>
  <si>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</si>
  <si>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</si>
  <si>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</si>
  <si>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</si>
  <si>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</si>
  <si>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</si>
  <si>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</si>
  <si>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</si>
  <si>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</si>
  <si>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</si>
  <si>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</si>
  <si>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</si>
  <si>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</si>
  <si>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</si>
  <si>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</si>
  <si>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</si>
  <si>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</si>
  <si>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</si>
  <si>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</si>
  <si>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</si>
  <si>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</si>
  <si>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</si>
  <si>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</si>
  <si>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</si>
  <si>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</si>
  <si>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</si>
  <si>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</si>
  <si>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</si>
  <si>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</si>
  <si>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</si>
  <si>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</si>
  <si>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</si>
  <si>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</si>
  <si>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</si>
  <si>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</si>
  <si>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</si>
  <si>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</si>
  <si>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</si>
  <si>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</si>
  <si>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</si>
  <si>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</si>
  <si>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</si>
  <si>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</si>
  <si>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</si>
  <si>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</si>
  <si>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</si>
  <si>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</si>
  <si>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</si>
  <si>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</si>
  <si>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</si>
  <si>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</si>
  <si>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</si>
  <si>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</si>
  <si>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</si>
  <si>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</si>
  <si>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</si>
  <si>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</si>
  <si>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</si>
  <si>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</si>
  <si>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</si>
  <si>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</si>
  <si>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</si>
  <si>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</si>
  <si>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</si>
  <si>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</si>
  <si>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</si>
  <si>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</si>
  <si>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</si>
  <si>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</si>
  <si>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</si>
  <si>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</si>
  <si>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</si>
  <si>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</si>
  <si>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</si>
  <si>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</si>
  <si>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</si>
  <si>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</si>
  <si>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</si>
  <si>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</si>
  <si>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</si>
  <si>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</si>
  <si>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</si>
  <si>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</si>
  <si>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</si>
  <si>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</si>
  <si>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</si>
  <si>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</si>
  <si>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</si>
  <si>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</si>
  <si>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</si>
  <si>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</si>
  <si>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</si>
  <si>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</si>
  <si>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</si>
  <si>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</si>
  <si>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</si>
  <si>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</si>
  <si>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</si>
  <si>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</si>
  <si>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</si>
  <si>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</si>
  <si>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</si>
  <si>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</si>
  <si>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</si>
  <si>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</si>
  <si>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</si>
  <si>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</si>
  <si>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</si>
  <si>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</si>
  <si>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</si>
  <si>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</si>
  <si>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</si>
  <si>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</si>
  <si>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</si>
  <si>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</si>
  <si>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</si>
  <si>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</si>
  <si>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</si>
  <si>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</si>
  <si>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</si>
  <si>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</si>
  <si>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</si>
  <si>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</si>
  <si>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</si>
  <si>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</si>
  <si>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</si>
  <si>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</si>
  <si>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</si>
  <si>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</si>
  <si>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</si>
  <si>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</si>
  <si>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</si>
  <si>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</si>
  <si>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</si>
  <si>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</si>
  <si>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</si>
  <si>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</si>
  <si>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</si>
  <si>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</si>
  <si>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</si>
  <si>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</si>
  <si>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</si>
  <si>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</si>
  <si>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</si>
  <si>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</si>
  <si>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</si>
  <si>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</si>
  <si>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</si>
  <si>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</si>
  <si>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</si>
  <si>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</si>
  <si>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</si>
  <si>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</si>
  <si>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</si>
  <si>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</si>
  <si>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</si>
  <si>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</si>
  <si>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</si>
  <si>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</si>
  <si>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</si>
  <si>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</si>
  <si>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</si>
  <si>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</si>
  <si>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</si>
  <si>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</si>
  <si>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</si>
  <si>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</si>
  <si>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</si>
  <si>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</si>
  <si>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</si>
  <si>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</si>
  <si>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</si>
  <si>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</si>
  <si>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</si>
  <si>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</si>
  <si>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</si>
  <si>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</si>
  <si>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</si>
  <si>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</si>
  <si>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</si>
  <si>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</si>
  <si>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</si>
  <si>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</si>
  <si>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</si>
  <si>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</si>
  <si>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</si>
  <si>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</si>
  <si>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</si>
  <si>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</si>
  <si>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</si>
  <si>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</si>
  <si>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</si>
  <si>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</si>
  <si>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</si>
  <si>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</si>
  <si>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</si>
  <si>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</si>
  <si>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</si>
  <si>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</si>
  <si>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</si>
  <si>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</si>
  <si>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</si>
  <si>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</si>
  <si>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</si>
  <si>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</si>
  <si>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</si>
  <si>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</si>
  <si>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</si>
  <si>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</si>
  <si>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</si>
  <si>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</si>
  <si>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</si>
  <si>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</si>
  <si>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</si>
  <si>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</si>
  <si>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</si>
  <si>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</si>
  <si>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</si>
  <si>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</si>
  <si>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</si>
  <si>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</si>
  <si>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</si>
  <si>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</si>
  <si>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</si>
  <si>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</si>
  <si>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</si>
  <si>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</si>
  <si>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</si>
  <si>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</si>
  <si>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</si>
  <si>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</si>
  <si>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</si>
  <si>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</si>
  <si>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</si>
  <si>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</si>
  <si>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</si>
  <si>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</si>
  <si>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</si>
  <si>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</si>
  <si>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</si>
  <si>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</si>
  <si>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</si>
  <si>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</si>
  <si>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</si>
  <si>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</si>
  <si>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</si>
  <si>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</si>
  <si>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</si>
  <si>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</si>
  <si>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</si>
  <si>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</si>
  <si>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</si>
  <si>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</si>
  <si>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</si>
  <si>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</si>
  <si>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</si>
  <si>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</si>
  <si>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</si>
  <si>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</si>
  <si>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</si>
  <si>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</si>
  <si>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</si>
  <si>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</si>
  <si>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</si>
  <si>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</si>
  <si>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</si>
  <si>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</si>
  <si>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</si>
  <si>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</si>
  <si>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</si>
  <si>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</si>
  <si>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</si>
  <si>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</si>
  <si>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</si>
  <si>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</si>
  <si>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</si>
  <si>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</si>
  <si>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</si>
  <si>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</si>
  <si>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</si>
  <si>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</si>
  <si>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</si>
  <si>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</si>
  <si>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</si>
  <si>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</si>
  <si>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</si>
  <si>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</si>
  <si>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</si>
  <si>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</si>
  <si>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</si>
  <si>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</si>
  <si>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</si>
  <si>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</si>
  <si>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</si>
  <si>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</si>
  <si>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</si>
  <si>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</si>
  <si>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</si>
  <si>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</si>
  <si>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</si>
  <si>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</si>
  <si>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</si>
  <si>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</si>
  <si>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</si>
  <si>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</si>
  <si>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</si>
  <si>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</si>
  <si>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</si>
  <si>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</si>
  <si>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</si>
  <si>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</si>
  <si>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</si>
  <si>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</si>
  <si>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</si>
  <si>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</si>
  <si>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</si>
  <si>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</si>
  <si>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</si>
  <si>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</si>
  <si>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</si>
  <si>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</si>
  <si>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</si>
  <si>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</si>
  <si>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</si>
  <si>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</si>
  <si>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</si>
  <si>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</si>
  <si>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</si>
  <si>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</si>
  <si>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</si>
  <si>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</si>
  <si>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</si>
  <si>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</si>
  <si>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</si>
  <si>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</si>
  <si>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</si>
  <si>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</si>
  <si>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</si>
  <si>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</si>
  <si>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</si>
  <si>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</si>
  <si>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</si>
  <si>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</si>
  <si>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</si>
  <si>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</si>
  <si>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</si>
  <si>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</si>
  <si>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</si>
  <si>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</si>
  <si>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</si>
  <si>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</si>
  <si>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</si>
  <si>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</si>
  <si>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</si>
  <si>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</si>
  <si>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</si>
  <si>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</si>
  <si>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</si>
  <si>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</si>
  <si>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</si>
  <si>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</si>
  <si>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</si>
  <si>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</si>
  <si>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</si>
  <si>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</si>
  <si>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</si>
  <si>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</si>
  <si>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</si>
  <si>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</si>
  <si>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</si>
  <si>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</si>
  <si>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</si>
  <si>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</si>
  <si>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</si>
  <si>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</si>
  <si>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</si>
  <si>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</si>
  <si>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</si>
  <si>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</si>
  <si>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</si>
  <si>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</si>
  <si>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</si>
  <si>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</si>
  <si>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</si>
  <si>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</si>
  <si>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</si>
  <si>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</si>
  <si>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</si>
  <si>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</si>
  <si>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</si>
  <si>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</si>
  <si>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</si>
  <si>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</si>
  <si>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</si>
  <si>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</si>
  <si>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</si>
  <si>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</si>
  <si>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</si>
  <si>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</si>
  <si>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</si>
  <si>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</si>
  <si>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</si>
  <si>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</si>
  <si>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</si>
  <si>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</si>
  <si>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</si>
  <si>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</si>
  <si>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</si>
  <si>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</si>
  <si>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</si>
  <si>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</si>
  <si>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</si>
  <si>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</si>
  <si>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</si>
  <si>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</si>
  <si>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</si>
  <si>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</si>
  <si>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</si>
  <si>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</si>
  <si>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</si>
  <si>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</si>
  <si>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</si>
  <si>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</si>
  <si>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</si>
  <si>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</si>
  <si>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</si>
  <si>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</si>
  <si>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</si>
  <si>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</si>
  <si>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</si>
  <si>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</si>
  <si>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</si>
  <si>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</si>
  <si>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</si>
  <si>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</si>
  <si>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</si>
  <si>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</si>
  <si>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</si>
  <si>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</si>
  <si>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</si>
  <si>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</si>
  <si>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</si>
  <si>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</si>
  <si>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</si>
  <si>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</si>
  <si>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</si>
  <si>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</si>
  <si>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</si>
  <si>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</si>
  <si>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</si>
  <si>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</si>
  <si>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</si>
  <si>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</si>
  <si>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</si>
  <si>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</si>
  <si>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</si>
  <si>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</si>
  <si>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</si>
  <si>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</si>
  <si>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</si>
  <si>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</si>
  <si>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</si>
  <si>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</si>
  <si>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</si>
  <si>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</si>
  <si>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</si>
  <si>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</si>
  <si>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</si>
  <si>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</si>
  <si>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</si>
  <si>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</si>
  <si>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</si>
  <si>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</si>
  <si>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</si>
  <si>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</si>
  <si>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</si>
  <si>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</si>
  <si>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</si>
  <si>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</si>
  <si>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</si>
  <si>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</si>
  <si>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</si>
  <si>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</si>
  <si>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</si>
  <si>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</si>
  <si>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</si>
  <si>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</si>
  <si>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</si>
  <si>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</si>
  <si>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</si>
  <si>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</si>
  <si>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</si>
  <si>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</si>
  <si>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</si>
  <si>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</si>
  <si>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</si>
  <si>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</si>
  <si>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</si>
  <si>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</si>
  <si>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</si>
  <si>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</si>
  <si>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</si>
  <si>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</si>
  <si>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</si>
  <si>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</si>
  <si>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</si>
  <si>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</si>
  <si>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</si>
  <si>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</si>
  <si>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</si>
  <si>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</si>
  <si>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</si>
  <si>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</si>
  <si>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</si>
  <si>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</si>
  <si>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</si>
  <si>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</si>
  <si>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</si>
  <si>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</si>
  <si>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</si>
  <si>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</si>
  <si>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</si>
  <si>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</si>
  <si>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</si>
  <si>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</si>
  <si>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</si>
  <si>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</si>
  <si>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</si>
  <si>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</si>
  <si>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</si>
  <si>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</si>
  <si>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</si>
  <si>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</si>
  <si>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</si>
  <si>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</si>
  <si>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</si>
  <si>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</si>
  <si>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</si>
  <si>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</si>
  <si>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</si>
  <si>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</si>
  <si>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</si>
  <si>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</si>
  <si>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</si>
  <si>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</si>
  <si>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</si>
  <si>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</si>
  <si>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</si>
  <si>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</si>
  <si>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</si>
  <si>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</si>
  <si>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</si>
  <si>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</si>
  <si>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</si>
  <si>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</si>
  <si>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</si>
  <si>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</si>
  <si>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</si>
  <si>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</si>
  <si>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</si>
  <si>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</si>
  <si>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</si>
  <si>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</si>
  <si>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</si>
  <si>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</si>
  <si>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</si>
  <si>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</si>
  <si>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</si>
  <si>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</si>
  <si>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</si>
  <si>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</si>
  <si>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</si>
  <si>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</si>
  <si>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</si>
  <si>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</si>
  <si>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</si>
  <si>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</si>
  <si>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</si>
  <si>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</si>
  <si>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</si>
  <si>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</si>
  <si>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</si>
  <si>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</si>
  <si>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</si>
  <si>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</si>
  <si>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</si>
  <si>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</si>
  <si>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</si>
  <si>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</si>
  <si>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</si>
  <si>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</si>
  <si>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</si>
  <si>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</si>
  <si>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</si>
  <si>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</si>
  <si>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</si>
  <si>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</si>
  <si>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</si>
  <si>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</si>
  <si>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</si>
  <si>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</si>
  <si>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</si>
  <si>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</si>
  <si>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</si>
  <si>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</si>
  <si>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</si>
  <si>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</si>
  <si>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</si>
  <si>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</si>
  <si>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</si>
  <si>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</si>
  <si>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</si>
  <si>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</si>
  <si>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</si>
  <si>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</si>
  <si>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</si>
  <si>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</si>
  <si>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</si>
  <si>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</si>
  <si>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</si>
  <si>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</si>
  <si>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</si>
  <si>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</si>
  <si>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</si>
  <si>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</si>
  <si>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</si>
  <si>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</si>
  <si>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</si>
  <si>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</si>
  <si>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</si>
  <si>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</si>
  <si>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</si>
  <si>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</si>
  <si>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</si>
  <si>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</si>
  <si>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</si>
  <si>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</si>
  <si>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</si>
  <si>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</si>
  <si>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</si>
  <si>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</si>
  <si>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</si>
  <si>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</si>
  <si>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</si>
  <si>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</si>
  <si>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</si>
  <si>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</si>
  <si>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</si>
  <si>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</si>
  <si>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</si>
  <si>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</si>
  <si>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</si>
  <si>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</si>
  <si>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</si>
  <si>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</si>
  <si>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</si>
  <si>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</si>
  <si>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</si>
  <si>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</si>
  <si>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</si>
  <si>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</si>
  <si>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</si>
  <si>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</si>
  <si>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</si>
  <si>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</si>
  <si>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</si>
  <si>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</si>
  <si>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</si>
  <si>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</si>
  <si>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</si>
  <si>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</si>
  <si>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</si>
  <si>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</si>
  <si>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</si>
  <si>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</si>
  <si>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</si>
  <si>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</si>
  <si>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</si>
  <si>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</si>
  <si>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</si>
  <si>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</si>
  <si>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</si>
  <si>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</si>
  <si>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</si>
  <si>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</si>
  <si>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</si>
  <si>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</si>
  <si>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</si>
  <si>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</si>
  <si>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</si>
  <si>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</si>
  <si>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</si>
  <si>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</si>
  <si>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</si>
  <si>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</si>
  <si>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</si>
  <si>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</si>
  <si>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</si>
  <si>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</si>
  <si>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</si>
  <si>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</si>
  <si>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</si>
  <si>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</si>
  <si>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</si>
  <si>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</si>
  <si>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</si>
  <si>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</si>
  <si>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</si>
  <si>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</si>
  <si>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</si>
  <si>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</si>
  <si>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</si>
  <si>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</si>
  <si>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</si>
  <si>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</si>
  <si>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</si>
  <si>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</si>
  <si>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</si>
  <si>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</si>
  <si>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</si>
  <si>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</si>
  <si>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</si>
  <si>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</si>
  <si>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</si>
  <si>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</si>
  <si>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</si>
  <si>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</si>
  <si>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</si>
  <si>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</si>
  <si>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</si>
  <si>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</si>
  <si>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</si>
  <si>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</si>
  <si>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</si>
  <si>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</si>
  <si>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</si>
  <si>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</si>
  <si>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</si>
  <si>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</si>
  <si>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</si>
  <si>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</si>
  <si>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</si>
  <si>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</si>
  <si>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</si>
  <si>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</si>
  <si>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</si>
  <si>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</si>
  <si>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</si>
  <si>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</si>
  <si>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</si>
  <si>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</si>
  <si>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</si>
  <si>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</si>
  <si>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</si>
  <si>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</si>
  <si>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</si>
  <si>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</si>
  <si>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</si>
  <si>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</si>
  <si>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</si>
  <si>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</si>
  <si>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</si>
  <si>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</si>
  <si>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</si>
  <si>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</si>
  <si>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</si>
  <si>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</si>
  <si>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</si>
  <si>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</si>
  <si>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</si>
  <si>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</si>
  <si>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</si>
  <si>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</si>
  <si>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</si>
  <si>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</si>
  <si>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</si>
  <si>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</si>
  <si>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</si>
  <si>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</si>
  <si>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</si>
  <si>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</si>
  <si>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</si>
  <si>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</si>
  <si>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</si>
  <si>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</si>
  <si>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</si>
  <si>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</si>
  <si>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</si>
  <si>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</si>
  <si>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</si>
  <si>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</si>
  <si>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</si>
  <si>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</si>
  <si>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</si>
  <si>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</si>
  <si>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</si>
  <si>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</si>
  <si>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</si>
  <si>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</si>
  <si>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</si>
  <si>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</si>
  <si>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</si>
  <si>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</si>
  <si>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</si>
  <si>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</si>
  <si>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</si>
  <si>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</si>
  <si>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</si>
  <si>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</si>
  <si>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</si>
  <si>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</si>
  <si>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</si>
  <si>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</si>
  <si>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</si>
  <si>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</si>
  <si>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</si>
  <si>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</si>
  <si>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</si>
  <si>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</si>
  <si>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</si>
  <si>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</si>
  <si>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</si>
  <si>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</si>
  <si>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</si>
  <si>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</si>
  <si>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</si>
  <si>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</si>
  <si>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</si>
  <si>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</si>
  <si>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</si>
  <si>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</si>
  <si>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</si>
  <si>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</si>
  <si>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</si>
  <si>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</si>
  <si>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</si>
  <si>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</si>
  <si>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</si>
  <si>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</si>
  <si>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</si>
  <si>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</si>
  <si>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</si>
  <si>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</si>
  <si>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</si>
  <si>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</si>
  <si>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</si>
  <si>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</si>
  <si>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</si>
  <si>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</si>
  <si>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</si>
  <si>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</si>
  <si>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</si>
  <si>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</si>
  <si>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</si>
  <si>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</si>
  <si>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</si>
  <si>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</si>
  <si>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</si>
  <si>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</si>
  <si>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</si>
  <si>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</si>
  <si>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</si>
  <si>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</si>
  <si>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</si>
  <si>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</si>
  <si>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</si>
  <si>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</si>
  <si>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</si>
  <si>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</si>
  <si>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</si>
  <si>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</si>
  <si>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</si>
  <si>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</si>
  <si>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</si>
  <si>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</si>
  <si>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</si>
  <si>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</si>
  <si>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</si>
  <si>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</si>
  <si>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</si>
  <si>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</si>
  <si>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</si>
  <si>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</si>
  <si>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</si>
  <si>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</si>
  <si>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</si>
  <si>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</si>
  <si>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</si>
  <si>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</si>
  <si>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</si>
  <si>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</si>
  <si>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</si>
  <si>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</si>
  <si>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</si>
  <si>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</si>
  <si>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</si>
  <si>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</si>
  <si>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</si>
  <si>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</si>
  <si>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</si>
  <si>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</si>
  <si>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</si>
  <si>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</si>
  <si>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</si>
  <si>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</si>
  <si>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</si>
  <si>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</si>
  <si>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</si>
  <si>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</si>
  <si>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</si>
  <si>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</si>
  <si>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</si>
  <si>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</si>
  <si>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</si>
  <si>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</si>
  <si>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</si>
  <si>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</si>
  <si>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</si>
  <si>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</si>
  <si>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</si>
  <si>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</si>
  <si>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</si>
  <si>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</si>
  <si>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</si>
  <si>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</si>
  <si>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</si>
  <si>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</si>
  <si>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</si>
  <si>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</si>
  <si>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</si>
  <si>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</si>
  <si>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</si>
  <si>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</si>
  <si>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</si>
  <si>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</si>
  <si>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</si>
  <si>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</si>
  <si>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</si>
  <si>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</si>
  <si>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</si>
  <si>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</si>
  <si>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</si>
  <si>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</si>
  <si>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</si>
  <si>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</si>
  <si>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</si>
  <si>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</si>
  <si>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</si>
  <si>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</si>
  <si>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</si>
  <si>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</si>
  <si>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</si>
  <si>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</si>
  <si>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</si>
  <si>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</si>
  <si>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</si>
  <si>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</si>
  <si>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</si>
  <si>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</si>
  <si>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</si>
  <si>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</si>
  <si>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</si>
  <si>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</si>
  <si>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</si>
  <si>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</si>
  <si>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</si>
  <si>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</si>
  <si>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</si>
  <si>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</si>
  <si>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</si>
  <si>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</si>
  <si>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</si>
  <si>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</si>
  <si>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</si>
  <si>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</si>
  <si>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</si>
  <si>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</si>
  <si>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</si>
  <si>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</si>
  <si>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</si>
  <si>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</si>
  <si>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</si>
  <si>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</si>
  <si>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</si>
  <si>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</si>
  <si>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</si>
  <si>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</si>
  <si>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</si>
  <si>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</si>
  <si>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</si>
  <si>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</si>
  <si>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</si>
  <si>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</si>
  <si>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</si>
  <si>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</si>
  <si>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</si>
  <si>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</si>
  <si>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</si>
  <si>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</si>
  <si>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</si>
  <si>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</si>
  <si>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</si>
  <si>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</si>
  <si>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</si>
  <si>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</si>
  <si>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</si>
  <si>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</si>
  <si>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</si>
  <si>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</si>
  <si>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</si>
  <si>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</si>
  <si>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</si>
  <si>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</si>
  <si>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</si>
  <si>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</si>
  <si>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</si>
  <si>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</si>
  <si>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</si>
  <si>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</si>
  <si>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</si>
  <si>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</si>
  <si>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</si>
  <si>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</si>
  <si>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</si>
  <si>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</si>
  <si>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</si>
  <si>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</si>
  <si>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</si>
  <si>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</si>
  <si>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</si>
  <si>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</si>
  <si>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</si>
  <si>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</si>
  <si>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</si>
  <si>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</si>
  <si>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</si>
  <si>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</si>
  <si>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</si>
  <si>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</si>
  <si>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</si>
  <si>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</si>
  <si>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</si>
  <si>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</si>
  <si>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</si>
  <si>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</si>
  <si>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</si>
  <si>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</si>
  <si>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</si>
  <si>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</si>
  <si>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</si>
  <si>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</si>
  <si>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</si>
  <si>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</si>
  <si>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</si>
  <si>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</si>
  <si>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</si>
  <si>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</si>
  <si>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</si>
  <si>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</si>
  <si>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</si>
  <si>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</si>
  <si>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</si>
  <si>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</si>
  <si>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</si>
  <si>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</si>
  <si>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</si>
  <si>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</si>
  <si>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</si>
  <si>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</si>
  <si>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</si>
  <si>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</si>
  <si>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</si>
  <si>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</si>
  <si>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</si>
  <si>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</si>
  <si>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</si>
  <si>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</si>
  <si>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</si>
  <si>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</si>
  <si>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</si>
  <si>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</si>
  <si>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</si>
  <si>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</si>
  <si>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</si>
  <si>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</si>
  <si>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</si>
  <si>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</si>
  <si>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</si>
  <si>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</si>
  <si>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</si>
  <si>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</si>
  <si>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</si>
  <si>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</si>
  <si>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</si>
  <si>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</si>
  <si>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</si>
  <si>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</si>
  <si>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</si>
  <si>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</si>
  <si>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</si>
  <si>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</si>
  <si>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</si>
  <si>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</si>
  <si>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</si>
  <si>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</si>
  <si>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</si>
  <si>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</si>
  <si>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</si>
  <si>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</si>
  <si>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</si>
  <si>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</si>
  <si>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</si>
  <si>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</si>
  <si>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</si>
  <si>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</si>
  <si>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</si>
  <si>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</si>
  <si>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</si>
  <si>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</si>
  <si>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</si>
  <si>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</si>
  <si>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</si>
  <si>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</si>
  <si>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</si>
  <si>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</si>
  <si>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</si>
  <si>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</si>
  <si>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</si>
  <si>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</si>
  <si>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</si>
  <si>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</si>
  <si>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</si>
  <si>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</si>
  <si>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</si>
  <si>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</si>
  <si>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</si>
  <si>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</si>
  <si>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</si>
  <si>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</si>
  <si>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</si>
  <si>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</si>
  <si>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</si>
  <si>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</si>
  <si>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</si>
  <si>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</si>
  <si>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</si>
  <si>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</si>
  <si>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</si>
  <si>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</si>
  <si>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</si>
  <si>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</si>
  <si>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</si>
  <si>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</si>
  <si>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</si>
  <si>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</si>
  <si>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</si>
  <si>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</si>
  <si>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</si>
  <si>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</si>
  <si>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</si>
  <si>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</si>
  <si>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</si>
  <si>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</si>
  <si>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</si>
  <si>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</si>
  <si>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</si>
  <si>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</si>
  <si>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</si>
  <si>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</si>
  <si>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</si>
  <si>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</si>
  <si>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</si>
  <si>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</si>
  <si>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</si>
  <si>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</si>
  <si>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</si>
  <si>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</si>
  <si>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</si>
  <si>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</si>
  <si>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</si>
  <si>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</si>
  <si>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</si>
  <si>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</si>
  <si>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</si>
  <si>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</si>
  <si>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</si>
  <si>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</si>
  <si>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</si>
  <si>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</si>
  <si>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</si>
  <si>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</si>
  <si>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</si>
  <si>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</si>
  <si>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</si>
  <si>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</si>
  <si>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</si>
  <si>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</si>
  <si>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</si>
  <si>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</si>
  <si>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</si>
  <si>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</si>
  <si>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</si>
  <si>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</si>
  <si>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</si>
  <si>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</si>
  <si>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</si>
  <si>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</si>
  <si>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</si>
  <si>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</si>
  <si>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</si>
  <si>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</si>
  <si>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</si>
  <si>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</si>
  <si>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</si>
  <si>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</si>
  <si>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</si>
  <si>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</si>
  <si>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</si>
  <si>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</si>
  <si>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</si>
  <si>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</si>
  <si>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</si>
  <si>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</si>
  <si>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</si>
  <si>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</si>
  <si>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</si>
  <si>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</si>
  <si>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</si>
  <si>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</si>
  <si>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</si>
  <si>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</si>
  <si>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</si>
  <si>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</si>
  <si>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</si>
  <si>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</si>
  <si>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</si>
  <si>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</si>
  <si>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</si>
  <si>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</si>
  <si>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</si>
  <si>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</si>
  <si>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</si>
  <si>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</si>
  <si>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</si>
  <si>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</si>
  <si>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</si>
  <si>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</si>
  <si>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</si>
  <si>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</si>
  <si>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</si>
  <si>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</si>
  <si>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</si>
  <si>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</si>
  <si>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</si>
  <si>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</si>
  <si>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</si>
  <si>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</si>
  <si>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</si>
  <si>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</si>
  <si>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</si>
  <si>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</si>
  <si>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</si>
  <si>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</si>
  <si>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</si>
  <si>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</si>
  <si>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</si>
  <si>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</si>
  <si>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</si>
  <si>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</si>
  <si>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</si>
  <si>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</si>
  <si>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</si>
  <si>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</si>
  <si>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</si>
  <si>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</si>
  <si>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</si>
  <si>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</si>
  <si>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</si>
  <si>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</si>
  <si>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</si>
  <si>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</si>
  <si>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</si>
  <si>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</si>
  <si>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</si>
  <si>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</si>
  <si>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</si>
  <si>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</si>
  <si>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</si>
  <si>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</si>
  <si>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</si>
  <si>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</si>
  <si>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</si>
  <si>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</si>
  <si>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</si>
  <si>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</si>
  <si>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</si>
  <si>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</si>
  <si>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</si>
  <si>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</si>
  <si>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</si>
  <si>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</si>
  <si>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</si>
  <si>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</si>
  <si>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</si>
  <si>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</si>
  <si>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</si>
  <si>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</si>
  <si>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</si>
  <si>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</si>
  <si>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</si>
  <si>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</si>
  <si>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</si>
  <si>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</si>
  <si>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</si>
  <si>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</si>
  <si>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</si>
  <si>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</si>
  <si>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</si>
  <si>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</si>
  <si>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</si>
  <si>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</si>
  <si>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</si>
  <si>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</si>
  <si>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</si>
  <si>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</si>
  <si>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</si>
  <si>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</si>
  <si>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</si>
  <si>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</si>
  <si>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</si>
  <si>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</si>
  <si>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</si>
  <si>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</si>
  <si>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</si>
  <si>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</si>
  <si>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</si>
  <si>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</si>
  <si>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</si>
  <si>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</si>
  <si>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</si>
  <si>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</si>
  <si>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</si>
  <si>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</si>
  <si>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</si>
  <si>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</si>
  <si>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</si>
  <si>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</si>
  <si>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</si>
  <si>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</si>
  <si>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</si>
  <si>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</si>
  <si>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</si>
  <si>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</si>
  <si>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</si>
  <si>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</si>
  <si>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</si>
  <si>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</si>
  <si>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</si>
  <si>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</si>
  <si>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</si>
  <si>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</si>
  <si>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</si>
  <si>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</si>
  <si>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</si>
  <si>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</si>
  <si>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</si>
  <si>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</si>
  <si>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</si>
  <si>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</si>
  <si>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</si>
  <si>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</si>
  <si>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</si>
  <si>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</si>
  <si>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</si>
  <si>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</si>
  <si>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</si>
  <si>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</si>
  <si>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</si>
  <si>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</si>
  <si>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</si>
  <si>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</si>
  <si>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</si>
  <si>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</si>
  <si>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</si>
  <si>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</si>
  <si>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</si>
  <si>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</si>
  <si>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</si>
  <si>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</si>
  <si>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</si>
  <si>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</si>
  <si>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</si>
  <si>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</si>
  <si>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</si>
  <si>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</si>
  <si>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</si>
  <si>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</si>
  <si>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</si>
  <si>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</si>
  <si>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</si>
  <si>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</si>
  <si>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</si>
  <si>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</si>
  <si>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</si>
  <si>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</si>
  <si>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</si>
  <si>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</si>
  <si>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</si>
  <si>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</si>
  <si>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</si>
  <si>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</si>
  <si>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</si>
  <si>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</si>
  <si>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</si>
  <si>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</si>
  <si>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</si>
  <si>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</si>
  <si>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</si>
  <si>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</si>
  <si>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</si>
  <si>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</si>
  <si>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</si>
  <si>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</si>
  <si>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</si>
  <si>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</si>
  <si>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</si>
  <si>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</si>
  <si>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</si>
  <si>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</si>
  <si>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</si>
  <si>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</si>
  <si>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</si>
  <si>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</si>
  <si>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</si>
  <si>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</si>
  <si>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</si>
  <si>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</si>
  <si>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</si>
  <si>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</si>
  <si>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</si>
  <si>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</si>
  <si>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</si>
  <si>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</si>
  <si>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</si>
  <si>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</si>
  <si>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</si>
  <si>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</si>
  <si>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</si>
  <si>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</si>
  <si>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</si>
  <si>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</si>
  <si>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</si>
  <si>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</si>
  <si>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</si>
  <si>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</si>
  <si>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</si>
  <si>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</si>
  <si>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</si>
  <si>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</si>
  <si>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</si>
  <si>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</si>
  <si>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</si>
  <si>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</si>
  <si>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</si>
  <si>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</si>
  <si>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</si>
  <si>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</si>
  <si>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</si>
  <si>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</si>
  <si>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</si>
  <si>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</si>
  <si>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</si>
  <si>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</si>
  <si>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</si>
  <si>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</si>
  <si>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</si>
  <si>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</si>
  <si>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</si>
  <si>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</si>
  <si>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</si>
  <si>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</si>
  <si>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</si>
  <si>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</si>
  <si>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</si>
  <si>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</si>
  <si>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</si>
  <si>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</si>
  <si>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</si>
  <si>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</si>
  <si>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</si>
  <si>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</si>
  <si>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</si>
  <si>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</si>
  <si>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</si>
  <si>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</si>
  <si>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</si>
  <si>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</si>
  <si>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</si>
  <si>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</si>
  <si>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</si>
  <si>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</si>
  <si>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</si>
  <si>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</si>
  <si>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</si>
  <si>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</si>
  <si>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</si>
  <si>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</si>
  <si>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</si>
  <si>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</si>
  <si>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</si>
  <si>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</si>
  <si>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</si>
  <si>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</si>
  <si>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</si>
  <si>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</si>
  <si>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</si>
  <si>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</si>
  <si>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</si>
  <si>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</si>
  <si>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</si>
  <si>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</si>
  <si>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</si>
  <si>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</si>
  <si>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</si>
  <si>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</si>
  <si>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</si>
  <si>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</si>
  <si>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</si>
  <si>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</si>
  <si>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</si>
  <si>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</si>
  <si>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</si>
  <si>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</si>
  <si>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</si>
  <si>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</si>
  <si>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</si>
  <si>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</si>
  <si>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</si>
  <si>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</si>
  <si>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</si>
  <si>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</si>
  <si>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</si>
  <si>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</si>
  <si>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</si>
  <si>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</si>
  <si>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</si>
  <si>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</si>
  <si>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</si>
  <si>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</si>
  <si>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</si>
  <si>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</si>
  <si>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</si>
  <si>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</si>
  <si>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</si>
  <si>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</si>
  <si>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</si>
  <si>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</si>
  <si>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</si>
  <si>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</si>
  <si>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</si>
  <si>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</si>
  <si>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</si>
  <si>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</si>
  <si>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</si>
  <si>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</si>
  <si>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</si>
  <si>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</si>
  <si>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</si>
  <si>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</si>
  <si>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</si>
  <si>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</si>
  <si>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</si>
  <si>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</si>
  <si>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</si>
  <si>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</si>
  <si>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</si>
  <si>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</si>
  <si>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</si>
  <si>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</si>
  <si>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</si>
  <si>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</si>
  <si>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</si>
  <si>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</si>
  <si>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</si>
  <si>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</si>
  <si>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</si>
  <si>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</si>
  <si>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</si>
  <si>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</si>
  <si>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</si>
  <si>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</si>
  <si>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</si>
  <si>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</si>
  <si>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</si>
  <si>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</si>
  <si>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</si>
  <si>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</si>
  <si>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</si>
  <si>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</si>
  <si>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</si>
  <si>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</si>
  <si>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</si>
  <si>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</si>
  <si>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</si>
  <si>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</si>
  <si>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</si>
  <si>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</si>
  <si>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</si>
  <si>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</si>
  <si>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</si>
  <si>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</si>
  <si>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</si>
  <si>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</si>
  <si>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</si>
  <si>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</si>
  <si>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</si>
  <si>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</si>
  <si>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</si>
  <si>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</si>
  <si>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</si>
  <si>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</si>
  <si>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</si>
  <si>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</si>
  <si>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</si>
  <si>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</si>
  <si>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</si>
  <si>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</si>
  <si>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</si>
  <si>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</si>
  <si>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</si>
  <si>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</si>
  <si>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</si>
  <si>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</si>
  <si>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</si>
  <si>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</si>
  <si>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</si>
  <si>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</si>
  <si>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</si>
  <si>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</si>
  <si>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</si>
  <si>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</si>
  <si>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</si>
  <si>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</si>
  <si>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</si>
  <si>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</si>
  <si>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</si>
  <si>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</si>
  <si>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</si>
  <si>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</si>
  <si>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</si>
  <si>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</si>
  <si>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</si>
  <si>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</si>
  <si>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</si>
  <si>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</si>
  <si>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</si>
  <si>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</si>
  <si>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</si>
  <si>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</si>
  <si>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</si>
  <si>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</si>
  <si>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</si>
  <si>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</si>
  <si>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</si>
  <si>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</si>
  <si>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</si>
  <si>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</si>
  <si>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</si>
  <si>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</si>
  <si>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</si>
  <si>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</si>
  <si>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</si>
  <si>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</si>
  <si>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</si>
  <si>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</si>
  <si>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</si>
  <si>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</si>
  <si>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</si>
  <si>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</si>
  <si>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</si>
  <si>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</si>
  <si>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</si>
  <si>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</si>
  <si>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</si>
  <si>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</si>
  <si>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</si>
  <si>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</si>
  <si>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</si>
  <si>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</si>
  <si>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</si>
  <si>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</si>
  <si>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</si>
  <si>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</si>
  <si>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</si>
  <si>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</si>
  <si>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</si>
  <si>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</si>
  <si>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</si>
  <si>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</si>
  <si>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</si>
  <si>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</si>
  <si>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</si>
  <si>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</si>
  <si>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</si>
  <si>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</si>
  <si>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</si>
  <si>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</si>
  <si>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</si>
  <si>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</si>
  <si>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</si>
  <si>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</si>
  <si>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</si>
  <si>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</si>
  <si>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</si>
  <si>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</si>
  <si>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</si>
  <si>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</si>
  <si>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</si>
  <si>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</si>
  <si>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</si>
  <si>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</si>
  <si>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</si>
  <si>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</si>
  <si>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</si>
  <si>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</si>
  <si>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</si>
  <si>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</si>
  <si>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</si>
  <si>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</si>
  <si>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</si>
  <si>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</si>
  <si>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</si>
  <si>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</si>
  <si>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</si>
  <si>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</si>
  <si>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</si>
  <si>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</si>
  <si>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</si>
  <si>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</si>
  <si>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</si>
  <si>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</si>
  <si>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</si>
  <si>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</si>
  <si>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</si>
  <si>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</si>
  <si>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</si>
  <si>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</si>
  <si>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</si>
  <si>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</si>
  <si>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</si>
  <si>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</si>
  <si>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</si>
  <si>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</si>
  <si>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</si>
  <si>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</si>
  <si>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</si>
  <si>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</si>
  <si>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</si>
  <si>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</si>
  <si>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</si>
  <si>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</si>
  <si>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</si>
  <si>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</si>
  <si>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</si>
  <si>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</si>
  <si>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</si>
  <si>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</si>
  <si>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</si>
  <si>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</si>
  <si>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</si>
  <si>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</si>
  <si>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</si>
  <si>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</si>
  <si>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</si>
  <si>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</si>
  <si>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</si>
  <si>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</si>
  <si>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</si>
  <si>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</si>
  <si>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</si>
  <si>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</si>
  <si>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</si>
  <si>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</si>
  <si>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</si>
  <si>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</si>
  <si>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</si>
  <si>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</si>
  <si>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</si>
  <si>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</si>
  <si>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</si>
  <si>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</si>
  <si>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</si>
  <si>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</si>
  <si>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</si>
  <si>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</si>
  <si>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</si>
  <si>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</si>
  <si>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</si>
  <si>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</si>
  <si>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</si>
  <si>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</si>
  <si>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</si>
  <si>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</si>
  <si>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</si>
  <si>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</si>
  <si>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</si>
  <si>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</si>
  <si>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</si>
  <si>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</si>
  <si>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</si>
  <si>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</si>
  <si>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</si>
  <si>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</si>
  <si>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</si>
  <si>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</si>
  <si>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</si>
  <si>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</si>
  <si>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</si>
  <si>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</si>
  <si>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</si>
  <si>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</si>
  <si>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</si>
  <si>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</si>
  <si>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</si>
  <si>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</si>
  <si>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</si>
  <si>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</si>
  <si>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</si>
  <si>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</si>
  <si>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</si>
  <si>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</si>
  <si>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</si>
  <si>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</si>
  <si>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</si>
  <si>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</si>
  <si>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</si>
  <si>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</si>
  <si>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</si>
  <si>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</si>
  <si>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</si>
  <si>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</si>
  <si>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</si>
  <si>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</si>
  <si>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</si>
  <si>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</si>
  <si>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</si>
  <si>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</si>
  <si>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</si>
  <si>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</si>
  <si>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</si>
  <si>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</si>
  <si>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</si>
  <si>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</si>
  <si>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</si>
  <si>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</si>
  <si>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</si>
  <si>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</si>
  <si>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</si>
  <si>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</si>
  <si>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</si>
  <si>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</si>
  <si>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</si>
  <si>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</si>
  <si>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</si>
  <si>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</si>
  <si>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</si>
  <si>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</si>
  <si>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</si>
  <si>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</si>
  <si>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</si>
  <si>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</si>
  <si>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</si>
  <si>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</si>
  <si>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</si>
  <si>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</si>
  <si>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</si>
  <si>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</si>
  <si>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</si>
  <si>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</si>
  <si>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</si>
  <si>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</si>
  <si>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</si>
  <si>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</si>
  <si>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</si>
  <si>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</si>
  <si>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</si>
  <si>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</si>
  <si>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</si>
  <si>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</si>
  <si>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</si>
  <si>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</si>
  <si>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</si>
  <si>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</si>
  <si>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</si>
  <si>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</si>
  <si>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</si>
  <si>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</si>
  <si>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</si>
  <si>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</si>
  <si>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</si>
  <si>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</si>
  <si>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</si>
  <si>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</si>
  <si>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</si>
  <si>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</si>
  <si>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</si>
  <si>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</si>
  <si>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</si>
  <si>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</si>
  <si>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</si>
  <si>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</si>
  <si>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</si>
  <si>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</si>
  <si>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</si>
  <si>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</si>
  <si>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</si>
  <si>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</si>
  <si>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</si>
  <si>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</si>
  <si>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</si>
  <si>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</si>
  <si>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</si>
  <si>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</si>
  <si>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</si>
  <si>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</si>
  <si>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</si>
  <si>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</si>
  <si>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</si>
  <si>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</si>
  <si>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</si>
  <si>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</si>
  <si>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</si>
  <si>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</si>
  <si>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</si>
  <si>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</si>
  <si>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</si>
  <si>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</si>
  <si>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</si>
  <si>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</si>
  <si>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</si>
  <si>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</si>
  <si>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</si>
  <si>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</si>
  <si>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</si>
  <si>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</si>
  <si>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</si>
  <si>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</si>
  <si>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</si>
  <si>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</si>
  <si>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</si>
  <si>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</si>
  <si>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</si>
  <si>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</si>
  <si>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</si>
  <si>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</si>
  <si>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</si>
  <si>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</si>
  <si>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</si>
  <si>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</si>
  <si>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</si>
  <si>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</si>
  <si>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</si>
  <si>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</si>
  <si>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</si>
  <si>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</si>
  <si>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</si>
  <si>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</si>
  <si>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</si>
  <si>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</si>
  <si>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</si>
  <si>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</si>
  <si>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</si>
  <si>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</si>
  <si>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</si>
  <si>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</si>
  <si>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</si>
  <si>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</si>
  <si>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</si>
  <si>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</si>
  <si>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</si>
  <si>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</si>
  <si>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</si>
  <si>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</si>
  <si>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</si>
  <si>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</si>
  <si>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</si>
  <si>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</si>
  <si>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</si>
  <si>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</si>
  <si>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</si>
  <si>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</si>
  <si>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</si>
  <si>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</si>
  <si>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</si>
  <si>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</si>
  <si>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</si>
  <si>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</si>
  <si>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</si>
  <si>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</si>
  <si>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</si>
  <si>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</si>
  <si>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</si>
  <si>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</si>
  <si>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</si>
  <si>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</si>
  <si>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</si>
  <si>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</si>
  <si>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</si>
  <si>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</si>
  <si>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</si>
  <si>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</si>
  <si>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</si>
  <si>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</si>
  <si>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</si>
  <si>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</si>
  <si>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</si>
  <si>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</si>
  <si>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</si>
  <si>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</si>
  <si>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</si>
  <si>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</si>
  <si>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</si>
  <si>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</si>
  <si>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</si>
  <si>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</si>
  <si>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</si>
  <si>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</si>
  <si>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</si>
  <si>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</si>
  <si>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</si>
  <si>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</si>
  <si>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</si>
  <si>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</si>
  <si>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</si>
  <si>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</si>
  <si>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</si>
  <si>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</si>
  <si>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</si>
  <si>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</si>
  <si>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</si>
  <si>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</si>
  <si>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</si>
  <si>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</si>
  <si>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</si>
  <si>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</si>
  <si>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</si>
  <si>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</si>
  <si>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</si>
  <si>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</si>
  <si>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</si>
  <si>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</si>
  <si>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</si>
  <si>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</si>
  <si>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</si>
  <si>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</si>
  <si>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</si>
  <si>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</si>
  <si>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</si>
  <si>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</si>
  <si>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</si>
  <si>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</si>
  <si>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</si>
  <si>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</si>
  <si>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</si>
  <si>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</si>
  <si>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</si>
  <si>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</si>
  <si>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</si>
  <si>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</si>
  <si>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</si>
  <si>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</si>
  <si>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</si>
  <si>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</si>
  <si>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</si>
  <si>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</si>
  <si>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</si>
  <si>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</si>
  <si>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</si>
  <si>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</si>
  <si>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</si>
  <si>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</si>
  <si>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</si>
  <si>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</si>
  <si>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</si>
  <si>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</si>
  <si>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</si>
  <si>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</si>
  <si>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</si>
  <si>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</si>
  <si>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</si>
  <si>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</si>
  <si>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</si>
  <si>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</si>
  <si>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</si>
  <si>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</si>
  <si>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</si>
  <si>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</si>
  <si>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</si>
  <si>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</si>
  <si>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</si>
  <si>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</si>
  <si>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</si>
  <si>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</si>
  <si>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</si>
  <si>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</si>
  <si>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</si>
  <si>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</si>
  <si>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</si>
  <si>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</si>
  <si>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</si>
  <si>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</si>
  <si>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</si>
  <si>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</si>
  <si>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</si>
  <si>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</si>
  <si>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</si>
  <si>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</si>
  <si>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</si>
  <si>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</si>
  <si>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</si>
  <si>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</si>
  <si>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</si>
  <si>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</si>
  <si>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</si>
  <si>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</si>
  <si>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</si>
  <si>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</si>
  <si>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</si>
  <si>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</si>
  <si>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</si>
  <si>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</si>
  <si>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</si>
  <si>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</si>
  <si>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</si>
  <si>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</si>
  <si>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</si>
  <si>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</si>
  <si>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</si>
  <si>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</si>
  <si>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</si>
  <si>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</si>
  <si>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</si>
  <si>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</si>
  <si>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</si>
  <si>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</si>
  <si>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</si>
  <si>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</si>
  <si>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</si>
  <si>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</si>
  <si>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</si>
  <si>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</si>
  <si>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</si>
  <si>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</si>
  <si>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</si>
  <si>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</si>
  <si>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</si>
  <si>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</si>
  <si>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</si>
  <si>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</si>
  <si>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</si>
  <si>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</si>
  <si>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</si>
  <si>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</si>
  <si>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</si>
  <si>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</si>
  <si>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</si>
  <si>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</si>
  <si>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</si>
  <si>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</si>
  <si>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</si>
  <si>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</si>
  <si>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</si>
  <si>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</si>
  <si>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</si>
  <si>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</si>
  <si>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</si>
  <si>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</si>
  <si>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</si>
  <si>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</si>
  <si>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</si>
  <si>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</si>
  <si>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</si>
  <si>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</si>
  <si>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</si>
  <si>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</si>
  <si>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</si>
  <si>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</si>
  <si>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</si>
  <si>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</si>
  <si>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</si>
  <si>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</si>
  <si>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</si>
  <si>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</si>
  <si>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</si>
  <si>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</si>
  <si>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</si>
  <si>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</si>
  <si>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</si>
  <si>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</si>
  <si>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</si>
  <si>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</si>
  <si>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</si>
  <si>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</si>
  <si>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</si>
  <si>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</si>
  <si>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</si>
  <si>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</si>
  <si>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</si>
  <si>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</si>
  <si>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</si>
  <si>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</si>
  <si>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</si>
  <si>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</si>
  <si>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</si>
  <si>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</si>
  <si>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</si>
  <si>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</si>
  <si>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</si>
  <si>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</si>
  <si>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</si>
  <si>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</si>
  <si>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</si>
  <si>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</si>
  <si>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</si>
  <si>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</si>
  <si>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</si>
  <si>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</si>
  <si>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</si>
  <si>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</si>
  <si>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</si>
  <si>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</si>
  <si>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</si>
  <si>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</si>
  <si>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</si>
  <si>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</si>
  <si>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</si>
  <si>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</si>
  <si>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</si>
  <si>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</si>
  <si>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</si>
  <si>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</si>
  <si>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</si>
  <si>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</si>
  <si>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</si>
  <si>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</si>
  <si>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</si>
  <si>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</si>
  <si>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</si>
  <si>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</si>
  <si>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</si>
  <si>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</si>
  <si>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</si>
  <si>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</si>
  <si>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</si>
  <si>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</si>
  <si>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</si>
  <si>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</si>
  <si>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</si>
  <si>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</si>
  <si>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</si>
  <si>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</si>
  <si>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</si>
  <si>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</si>
  <si>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</si>
  <si>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</si>
  <si>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</si>
  <si>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</si>
  <si>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</si>
  <si>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</si>
  <si>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</si>
  <si>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</si>
  <si>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</si>
  <si>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</si>
  <si>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</si>
  <si>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</si>
  <si>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</si>
  <si>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</si>
  <si>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</si>
  <si>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</si>
  <si>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</si>
  <si>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</si>
  <si>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</si>
  <si>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</si>
  <si>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</si>
  <si>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</si>
  <si>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</si>
  <si>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</si>
  <si>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</si>
  <si>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</si>
  <si>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</si>
  <si>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</si>
  <si>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</si>
  <si>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</si>
  <si>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</si>
  <si>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</si>
  <si>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</si>
  <si>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</si>
  <si>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</si>
  <si>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</si>
  <si>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</si>
  <si>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</si>
  <si>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</si>
  <si>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</si>
  <si>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</si>
  <si>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</si>
  <si>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</si>
  <si>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</si>
  <si>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</si>
  <si>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</si>
  <si>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</si>
  <si>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</si>
  <si>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</si>
  <si>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</si>
  <si>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</si>
  <si>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</si>
  <si>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</si>
  <si>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</si>
  <si>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</si>
  <si>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</si>
  <si>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</si>
  <si>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</si>
  <si>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</si>
  <si>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</si>
  <si>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</si>
  <si>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</si>
  <si>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</si>
  <si>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</si>
  <si>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</si>
  <si>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</si>
  <si>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</si>
  <si>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</si>
  <si>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</si>
  <si>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</si>
  <si>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</si>
  <si>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</si>
  <si>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</si>
  <si>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</si>
  <si>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</si>
  <si>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</si>
  <si>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</si>
  <si>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</si>
  <si>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</si>
  <si>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</si>
  <si>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</si>
  <si>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</si>
  <si>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</si>
  <si>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</si>
  <si>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</si>
  <si>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</si>
  <si>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</si>
  <si>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</si>
  <si>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</si>
  <si>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</si>
  <si>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</si>
  <si>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</si>
  <si>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</si>
  <si>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</si>
  <si>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</si>
  <si>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</si>
  <si>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</si>
  <si>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</si>
  <si>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</si>
  <si>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</si>
  <si>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</si>
  <si>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</si>
  <si>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</si>
  <si>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</si>
  <si>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</si>
  <si>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</si>
  <si>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</si>
  <si>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</si>
  <si>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</si>
  <si>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</si>
  <si>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</si>
  <si>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</si>
  <si>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</si>
  <si>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</si>
  <si>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</si>
  <si>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</si>
  <si>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</si>
  <si>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</si>
  <si>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</si>
  <si>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</si>
  <si>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</si>
  <si>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</si>
  <si>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</si>
  <si>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</si>
  <si>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</si>
  <si>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</si>
  <si>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</si>
  <si>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</si>
  <si>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</si>
  <si>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</si>
  <si>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</si>
  <si>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</si>
  <si>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</si>
  <si>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</si>
  <si>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</si>
  <si>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</si>
  <si>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</si>
  <si>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</si>
  <si>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</si>
  <si>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</si>
  <si>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</si>
  <si>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</si>
  <si>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</si>
  <si>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</si>
  <si>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</si>
  <si>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</si>
  <si>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</si>
  <si>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</si>
  <si>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</si>
  <si>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</si>
  <si>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</si>
  <si>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</si>
  <si>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</si>
  <si>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</si>
  <si>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</si>
  <si>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</si>
  <si>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</si>
  <si>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</si>
  <si>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</si>
  <si>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</si>
  <si>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</si>
  <si>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</si>
  <si>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</si>
  <si>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</si>
  <si>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</si>
  <si>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</si>
  <si>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</si>
  <si>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</si>
  <si>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</si>
  <si>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</si>
  <si>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</si>
  <si>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</si>
  <si>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</si>
  <si>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</si>
  <si>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</si>
  <si>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</si>
  <si>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</si>
  <si>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</si>
  <si>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</si>
  <si>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</si>
  <si>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</si>
  <si>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</si>
  <si>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</si>
  <si>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</si>
  <si>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</si>
  <si>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</si>
  <si>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</si>
  <si>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</si>
  <si>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</si>
  <si>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</si>
  <si>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</si>
  <si>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</si>
  <si>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</si>
  <si>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</si>
  <si>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</si>
  <si>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</si>
  <si>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</si>
  <si>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</si>
  <si>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</si>
  <si>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</si>
  <si>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</si>
  <si>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</si>
  <si>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</si>
  <si>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</si>
  <si>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</si>
  <si>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</si>
  <si>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</si>
  <si>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</si>
  <si>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</si>
  <si>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</si>
  <si>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</si>
  <si>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</si>
  <si>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</si>
  <si>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</si>
  <si>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</si>
  <si>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</si>
  <si>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</si>
  <si>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</si>
  <si>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</si>
  <si>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</si>
  <si>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</si>
  <si>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</si>
  <si>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</si>
  <si>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</si>
  <si>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</si>
  <si>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</si>
  <si>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</si>
  <si>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</si>
  <si>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</si>
  <si>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</si>
  <si>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</si>
  <si>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</si>
  <si>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</si>
  <si>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</si>
  <si>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</si>
  <si>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</si>
  <si>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</si>
  <si>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</si>
  <si>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</si>
  <si>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</si>
  <si>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</si>
  <si>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</si>
  <si>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</si>
  <si>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</si>
  <si>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</si>
  <si>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</si>
  <si>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</si>
  <si>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</si>
  <si>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</si>
  <si>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</si>
  <si>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</si>
  <si>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</si>
  <si>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</si>
  <si>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</si>
  <si>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</si>
  <si>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</si>
  <si>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</si>
  <si>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</si>
  <si>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</si>
  <si>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</si>
  <si>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</si>
  <si>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</si>
  <si>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</si>
  <si>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</si>
  <si>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</si>
  <si>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</si>
  <si>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</si>
  <si>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</si>
  <si>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</si>
  <si>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</si>
  <si>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</si>
  <si>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</si>
  <si>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</si>
  <si>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</si>
  <si>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</si>
  <si>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</si>
  <si>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</si>
  <si>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</si>
  <si>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</si>
  <si>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</si>
  <si>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</si>
  <si>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</si>
  <si>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</si>
  <si>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</si>
  <si>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</si>
  <si>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</si>
  <si>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</si>
  <si>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</si>
  <si>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</si>
  <si>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</si>
  <si>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</si>
  <si>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</si>
  <si>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</si>
  <si>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</si>
  <si>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</si>
  <si>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</si>
  <si>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</si>
  <si>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</si>
  <si>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</si>
  <si>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</si>
  <si>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</si>
  <si>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</si>
  <si>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</si>
  <si>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</si>
  <si>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</si>
  <si>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</si>
  <si>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</si>
  <si>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</si>
  <si>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</si>
  <si>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</si>
  <si>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</si>
  <si>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</si>
  <si>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</si>
  <si>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</si>
  <si>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</si>
  <si>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</si>
  <si>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</si>
  <si>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</si>
  <si>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</si>
  <si>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</si>
  <si>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</si>
  <si>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</si>
  <si>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</si>
  <si>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</si>
  <si>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</si>
  <si>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</si>
  <si>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</si>
  <si>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</si>
  <si>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</si>
  <si>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</si>
  <si>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</si>
  <si>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</si>
  <si>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</si>
  <si>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</si>
  <si>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</si>
  <si>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</si>
  <si>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</si>
  <si>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</si>
  <si>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</si>
  <si>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</si>
  <si>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</si>
  <si>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</si>
  <si>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</si>
  <si>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</si>
  <si>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</si>
  <si>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</si>
  <si>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</si>
  <si>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</si>
  <si>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</si>
  <si>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</si>
  <si>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</si>
  <si>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</si>
  <si>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</si>
  <si>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</si>
  <si>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</si>
  <si>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</si>
  <si>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</si>
  <si>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</si>
  <si>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</si>
  <si>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</si>
  <si>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</si>
  <si>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</si>
  <si>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</si>
  <si>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</si>
  <si>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</si>
  <si>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</si>
  <si>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</si>
  <si>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</si>
  <si>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</si>
  <si>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</si>
  <si>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</si>
  <si>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</si>
  <si>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</si>
  <si>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</si>
  <si>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</si>
  <si>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</si>
  <si>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</si>
  <si>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</si>
  <si>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</si>
  <si>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</si>
  <si>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</si>
  <si>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</si>
  <si>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</si>
  <si>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</si>
  <si>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</si>
  <si>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</si>
  <si>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</si>
  <si>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</si>
  <si>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</si>
  <si>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</si>
  <si>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</si>
  <si>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</si>
  <si>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</si>
  <si>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</si>
  <si>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</si>
  <si>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</si>
  <si>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</si>
  <si>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</si>
  <si>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</si>
  <si>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</si>
  <si>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</si>
  <si>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</si>
  <si>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</si>
  <si>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</si>
  <si>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</si>
  <si>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</si>
  <si>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</si>
  <si>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</si>
  <si>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</si>
  <si>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</si>
  <si>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</si>
  <si>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</si>
  <si>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</si>
  <si>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</si>
  <si>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</si>
  <si>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</si>
  <si>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</si>
  <si>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</si>
  <si>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</si>
  <si>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</si>
  <si>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</si>
  <si>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</si>
  <si>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</si>
  <si>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</si>
  <si>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</si>
  <si>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</si>
  <si>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</si>
  <si>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</si>
  <si>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</si>
  <si>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</si>
  <si>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</si>
  <si>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</si>
  <si>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</si>
  <si>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</si>
  <si>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</si>
  <si>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</si>
  <si>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</si>
  <si>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</si>
  <si>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</si>
  <si>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</si>
  <si>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</si>
  <si>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</si>
  <si>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</si>
  <si>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</si>
  <si>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</si>
  <si>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</si>
  <si>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</si>
  <si>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</si>
  <si>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</si>
  <si>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</si>
  <si>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</si>
  <si>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</si>
  <si>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</si>
  <si>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</si>
  <si>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</si>
  <si>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</si>
  <si>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</si>
  <si>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</si>
  <si>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</si>
  <si>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</si>
  <si>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</si>
  <si>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</si>
  <si>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</si>
  <si>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</si>
  <si>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</si>
  <si>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</si>
  <si>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</si>
  <si>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</si>
  <si>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</si>
  <si>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</si>
  <si>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</si>
  <si>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</si>
  <si>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</si>
  <si>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</si>
  <si>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</si>
  <si>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</si>
  <si>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</si>
  <si>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</si>
  <si>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</si>
  <si>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</si>
  <si>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</si>
  <si>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</si>
  <si>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</si>
  <si>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</si>
  <si>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</si>
  <si>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</si>
  <si>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</si>
  <si>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</si>
  <si>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</si>
  <si>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</si>
  <si>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</si>
  <si>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</si>
  <si>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</si>
  <si>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</si>
  <si>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</si>
  <si>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</si>
  <si>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</si>
  <si>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</si>
  <si>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</si>
  <si>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</si>
  <si>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</si>
  <si>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</si>
  <si>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</si>
  <si>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</si>
  <si>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</si>
  <si>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</si>
  <si>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</si>
  <si>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</si>
  <si>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</si>
  <si>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</si>
  <si>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</si>
  <si>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</si>
  <si>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</si>
  <si>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</si>
  <si>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</si>
  <si>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</si>
  <si>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</si>
  <si>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</si>
  <si>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</si>
  <si>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</si>
  <si>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</si>
  <si>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</si>
  <si>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</si>
  <si>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</si>
  <si>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</si>
  <si>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</si>
  <si>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</si>
  <si>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</si>
  <si>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</si>
  <si>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</si>
  <si>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</si>
  <si>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</si>
  <si>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</si>
  <si>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</si>
  <si>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</si>
  <si>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</si>
  <si>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</si>
  <si>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</si>
  <si>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</si>
  <si>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</si>
  <si>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</si>
  <si>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</si>
  <si>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</si>
  <si>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</si>
  <si>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</si>
  <si>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</si>
  <si>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</si>
  <si>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</si>
  <si>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</si>
  <si>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</si>
  <si>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</si>
  <si>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</si>
  <si>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</si>
  <si>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</si>
  <si>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</si>
  <si>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</si>
  <si>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</si>
  <si>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</si>
  <si>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</si>
  <si>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</si>
  <si>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</si>
  <si>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</si>
  <si>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</si>
  <si>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</si>
  <si>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</si>
  <si>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</si>
  <si>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</si>
  <si>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</si>
  <si>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</si>
  <si>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</si>
  <si>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</si>
  <si>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</si>
  <si>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</si>
  <si>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</si>
  <si>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</si>
  <si>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</si>
  <si>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</si>
  <si>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</si>
  <si>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</si>
  <si>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</si>
  <si>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</si>
  <si>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</si>
  <si>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</si>
  <si>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</si>
  <si>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</si>
  <si>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</si>
  <si>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</si>
  <si>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</si>
  <si>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</si>
  <si>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</si>
  <si>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</si>
  <si>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</si>
  <si>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</si>
  <si>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</si>
  <si>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</si>
  <si>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</si>
  <si>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</si>
  <si>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</si>
  <si>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</si>
  <si>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</si>
  <si>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</si>
  <si>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</si>
  <si>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</si>
  <si>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</si>
  <si>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</si>
  <si>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</si>
  <si>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</si>
  <si>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</si>
  <si>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</si>
  <si>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</si>
  <si>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</si>
  <si>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</si>
  <si>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</si>
  <si>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</si>
  <si>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</si>
  <si>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</si>
  <si>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</si>
  <si>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</si>
  <si>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</si>
  <si>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</si>
  <si>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</si>
  <si>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</si>
  <si>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</si>
  <si>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</si>
  <si>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</si>
  <si>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</si>
  <si>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</si>
  <si>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</si>
  <si>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</si>
  <si>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</si>
  <si>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</si>
  <si>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</si>
  <si>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</si>
  <si>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</si>
  <si>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</si>
  <si>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</si>
  <si>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</si>
  <si>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</si>
  <si>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</si>
  <si>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</si>
  <si>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</si>
  <si>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</si>
  <si>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</si>
  <si>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</si>
  <si>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</si>
  <si>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</si>
  <si>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</si>
  <si>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</si>
  <si>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</si>
  <si>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</si>
  <si>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</si>
  <si>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</si>
  <si>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</si>
  <si>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</si>
  <si>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</si>
  <si>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</si>
  <si>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</si>
  <si>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</si>
  <si>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</si>
  <si>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</si>
  <si>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</si>
  <si>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</si>
  <si>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</si>
  <si>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</si>
  <si>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</si>
  <si>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</si>
  <si>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</si>
  <si>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</si>
  <si>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</si>
  <si>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</si>
  <si>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</si>
  <si>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</si>
  <si>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</si>
  <si>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</si>
  <si>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</si>
  <si>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</si>
  <si>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</si>
  <si>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</si>
  <si>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</si>
  <si>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</si>
  <si>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</si>
  <si>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</si>
  <si>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</si>
  <si>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</si>
  <si>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</si>
  <si>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</si>
  <si>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</si>
  <si>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</si>
  <si>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</si>
  <si>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</si>
  <si>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</si>
  <si>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</si>
  <si>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</si>
  <si>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</si>
  <si>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</si>
  <si>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</si>
  <si>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</si>
  <si>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</si>
  <si>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</si>
  <si>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</si>
  <si>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</si>
  <si>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</si>
  <si>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</si>
  <si>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</si>
  <si>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</si>
  <si>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</si>
  <si>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</si>
  <si>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</si>
  <si>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</si>
  <si>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</si>
  <si>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</si>
  <si>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</si>
  <si>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</si>
  <si>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</si>
  <si>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</si>
  <si>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</si>
  <si>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</si>
  <si>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</si>
  <si>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</si>
  <si>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</si>
  <si>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</si>
  <si>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</si>
  <si>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</si>
  <si>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</si>
  <si>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</si>
  <si>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</si>
  <si>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</si>
  <si>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</si>
  <si>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</si>
  <si>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</si>
  <si>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</si>
  <si>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</si>
  <si>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</si>
  <si>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</si>
  <si>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</si>
  <si>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</si>
  <si>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</si>
  <si>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</si>
  <si>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</si>
  <si>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</si>
  <si>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</si>
  <si>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</si>
  <si>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</si>
  <si>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</si>
  <si>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</si>
  <si>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</si>
  <si>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</si>
  <si>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</si>
  <si>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</si>
  <si>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</si>
  <si>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</si>
  <si>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</si>
  <si>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</si>
  <si>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</si>
  <si>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</si>
  <si>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</si>
  <si>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</si>
  <si>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</si>
  <si>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</si>
  <si>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</si>
  <si>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</si>
  <si>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</si>
  <si>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</si>
  <si>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</si>
  <si>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</si>
  <si>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</si>
  <si>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</si>
  <si>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</si>
  <si>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</si>
  <si>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</si>
  <si>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</si>
  <si>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</si>
  <si>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</si>
  <si>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</si>
  <si>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</si>
  <si>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</si>
  <si>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</si>
  <si>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</si>
  <si>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</si>
  <si>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</si>
  <si>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</si>
  <si>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</si>
  <si>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</si>
  <si>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</si>
  <si>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</si>
  <si>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</si>
  <si>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</si>
  <si>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</si>
  <si>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</si>
  <si>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</si>
  <si>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</si>
  <si>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</si>
  <si>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</si>
  <si>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</si>
  <si>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</si>
  <si>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</si>
  <si>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</si>
  <si>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</si>
  <si>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</si>
  <si>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</si>
  <si>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</si>
  <si>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</si>
  <si>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</si>
  <si>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</si>
  <si>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</si>
  <si>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</si>
  <si>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</si>
  <si>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</si>
  <si>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</si>
  <si>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</si>
  <si>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</si>
  <si>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</si>
  <si>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</si>
  <si>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</si>
  <si>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</si>
  <si>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</si>
  <si>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</si>
  <si>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</si>
  <si>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</si>
  <si>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</si>
  <si>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</si>
  <si>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</si>
  <si>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</si>
  <si>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</si>
  <si>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</si>
  <si>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</si>
  <si>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</si>
  <si>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</si>
  <si>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</si>
  <si>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</si>
  <si>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</si>
  <si>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</si>
  <si>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</si>
  <si>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</si>
  <si>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</si>
  <si>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</si>
  <si>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</si>
  <si>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</si>
  <si>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</si>
  <si>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</si>
  <si>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</si>
  <si>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</si>
  <si>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</si>
  <si>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</si>
  <si>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</si>
  <si>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</si>
  <si>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</si>
  <si>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</si>
  <si>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</si>
  <si>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</si>
  <si>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</si>
  <si>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</si>
  <si>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</si>
  <si>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</si>
  <si>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</si>
  <si>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</si>
  <si>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</si>
  <si>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</si>
  <si>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</si>
  <si>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</si>
  <si>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</si>
  <si>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</si>
  <si>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</si>
  <si>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</si>
  <si>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</si>
  <si>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</si>
  <si>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</si>
  <si>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</si>
  <si>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</si>
  <si>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</si>
  <si>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</si>
  <si>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</si>
  <si>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</si>
  <si>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</si>
  <si>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</si>
  <si>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</si>
  <si>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</si>
  <si>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</si>
  <si>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</si>
  <si>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</si>
  <si>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</si>
  <si>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</si>
  <si>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</si>
  <si>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</si>
  <si>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</si>
  <si>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</si>
  <si>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</si>
  <si>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</si>
  <si>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</si>
  <si>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</si>
  <si>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</si>
  <si>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</si>
  <si>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</si>
  <si>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</si>
  <si>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</si>
  <si>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</si>
  <si>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</si>
  <si>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</si>
  <si>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</si>
  <si>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</si>
  <si>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</si>
  <si>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</si>
  <si>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</si>
  <si>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</si>
  <si>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</si>
  <si>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</si>
  <si>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</si>
  <si>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</si>
  <si>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</si>
  <si>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</si>
  <si>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</si>
  <si>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</si>
  <si>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</si>
  <si>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</si>
  <si>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</si>
  <si>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</si>
  <si>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</si>
  <si>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</si>
  <si>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</si>
  <si>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</si>
  <si>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</si>
  <si>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</si>
  <si>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</si>
  <si>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</si>
  <si>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</si>
  <si>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</si>
  <si>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</si>
  <si>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</si>
  <si>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</si>
  <si>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</si>
  <si>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</si>
  <si>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</si>
  <si>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</si>
  <si>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</si>
  <si>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</si>
  <si>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</si>
  <si>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</si>
  <si>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</si>
  <si>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</si>
  <si>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</si>
  <si>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</si>
  <si>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</si>
  <si>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</si>
  <si>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</si>
  <si>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</si>
  <si>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</si>
  <si>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</si>
  <si>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</si>
  <si>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</si>
  <si>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</si>
  <si>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</si>
  <si>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</si>
  <si>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</si>
  <si>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</si>
  <si>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</si>
  <si>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</si>
  <si>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</si>
  <si>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</si>
  <si>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</si>
  <si>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</si>
  <si>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</si>
  <si>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</si>
  <si>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</si>
  <si>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</si>
  <si>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</si>
  <si>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</si>
  <si>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</si>
  <si>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</si>
  <si>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</si>
  <si>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</si>
  <si>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</si>
  <si>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</si>
  <si>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</si>
  <si>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</si>
  <si>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</si>
  <si>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</si>
  <si>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</si>
  <si>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</si>
  <si>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</si>
  <si>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</si>
  <si>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</si>
  <si>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</si>
  <si>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</si>
  <si>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</si>
  <si>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</si>
  <si>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</si>
  <si>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</si>
  <si>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</si>
  <si>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</si>
  <si>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</si>
  <si>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</si>
  <si>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</si>
  <si>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</si>
  <si>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</si>
  <si>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</si>
  <si>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</si>
  <si>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</si>
  <si>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</si>
  <si>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</si>
  <si>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</si>
  <si>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</si>
  <si>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</si>
  <si>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</si>
  <si>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</si>
  <si>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</si>
  <si>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</si>
  <si>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</si>
  <si>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</si>
  <si>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</si>
  <si>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</si>
  <si>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</si>
  <si>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</si>
  <si>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</si>
  <si>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</si>
  <si>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</si>
  <si>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</si>
  <si>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</si>
  <si>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</si>
  <si>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</si>
  <si>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</si>
  <si>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</si>
  <si>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</si>
  <si>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</si>
  <si>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</si>
  <si>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</si>
  <si>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</si>
  <si>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</si>
  <si>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</si>
  <si>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</si>
  <si>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</si>
  <si>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</si>
  <si>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</si>
  <si>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</si>
  <si>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</si>
  <si>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</si>
  <si>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</si>
  <si>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</si>
  <si>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</si>
  <si>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</si>
  <si>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</si>
  <si>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</si>
  <si>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</si>
  <si>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</si>
  <si>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</si>
  <si>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</si>
  <si>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</si>
  <si>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</si>
  <si>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</si>
  <si>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</si>
  <si>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</si>
  <si>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</si>
  <si>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</si>
  <si>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</si>
  <si>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</si>
  <si>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</si>
  <si>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</si>
  <si>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</si>
  <si>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</si>
  <si>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</si>
  <si>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</si>
  <si>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</si>
  <si>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</si>
  <si>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</si>
  <si>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</si>
  <si>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</si>
  <si>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</si>
  <si>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</si>
  <si>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</si>
  <si>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</si>
  <si>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</si>
  <si>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</si>
  <si>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</si>
  <si>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</si>
  <si>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</si>
  <si>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</si>
  <si>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</si>
  <si>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</si>
  <si>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</si>
  <si>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</si>
  <si>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</si>
  <si>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</si>
  <si>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</si>
  <si>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</si>
  <si>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</si>
  <si>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</si>
  <si>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</si>
  <si>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</si>
  <si>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</si>
  <si>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</si>
  <si>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</si>
  <si>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</si>
  <si>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</si>
  <si>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</si>
  <si>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</si>
  <si>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</si>
  <si>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</si>
  <si>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</si>
  <si>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</si>
  <si>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</si>
  <si>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</si>
  <si>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</si>
  <si>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</si>
  <si>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</si>
  <si>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</si>
  <si>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</si>
  <si>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</si>
  <si>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</si>
  <si>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</si>
  <si>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</si>
  <si>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</si>
  <si>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</si>
  <si>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</si>
  <si>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</si>
  <si>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</si>
  <si>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</si>
  <si>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</si>
  <si>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</si>
  <si>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</si>
  <si>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</si>
  <si>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</si>
  <si>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</si>
  <si>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</si>
  <si>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</si>
  <si>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</si>
  <si>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</si>
  <si>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</si>
  <si>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</si>
  <si>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</si>
  <si>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</si>
  <si>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</si>
  <si>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</si>
  <si>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</si>
  <si>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</si>
  <si>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</si>
  <si>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</si>
  <si>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</si>
  <si>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</si>
  <si>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</si>
  <si>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</si>
  <si>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</si>
  <si>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</si>
  <si>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</si>
  <si>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</si>
  <si>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</si>
  <si>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</si>
  <si>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</si>
  <si>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</si>
  <si>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</si>
  <si>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</si>
  <si>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</si>
  <si>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</si>
  <si>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</si>
  <si>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</si>
  <si>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</si>
  <si>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</si>
  <si>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</si>
  <si>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</si>
  <si>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</si>
  <si>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</si>
  <si>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</si>
  <si>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</si>
  <si>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</si>
  <si>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</si>
  <si>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</si>
  <si>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</si>
  <si>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</si>
  <si>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</si>
  <si>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</si>
  <si>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</si>
  <si>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</si>
  <si>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</si>
  <si>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</si>
  <si>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</si>
  <si>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</si>
  <si>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</si>
  <si>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</si>
  <si>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</si>
  <si>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</si>
  <si>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</si>
  <si>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</si>
  <si>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</si>
  <si>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</si>
  <si>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</si>
  <si>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</si>
  <si>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</si>
  <si>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</si>
  <si>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</si>
  <si>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</si>
  <si>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</si>
  <si>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</si>
  <si>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</si>
  <si>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</si>
  <si>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</si>
  <si>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</si>
  <si>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</si>
  <si>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</si>
  <si>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</si>
  <si>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</si>
  <si>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</si>
  <si>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</si>
  <si>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</si>
  <si>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</si>
  <si>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</si>
  <si>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</si>
  <si>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</si>
  <si>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</si>
  <si>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</si>
  <si>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</si>
  <si>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</si>
  <si>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</si>
  <si>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</si>
  <si>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</si>
  <si>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</si>
  <si>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</si>
  <si>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</si>
  <si>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</si>
  <si>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</si>
  <si>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</si>
  <si>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</si>
  <si>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</si>
  <si>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</si>
  <si>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</si>
  <si>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</si>
  <si>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</si>
  <si>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</si>
  <si>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</si>
  <si>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</si>
  <si>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</si>
  <si>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</si>
  <si>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</si>
  <si>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</si>
  <si>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</si>
  <si>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</si>
  <si>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</si>
  <si>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</si>
  <si>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</si>
  <si>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</si>
  <si>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</si>
  <si>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</si>
  <si>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</si>
  <si>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</si>
  <si>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</si>
  <si>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</si>
  <si>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</si>
  <si>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</si>
  <si>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</si>
  <si>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</si>
  <si>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</si>
  <si>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</si>
  <si>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</si>
  <si>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</si>
  <si>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</si>
  <si>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</si>
  <si>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</si>
  <si>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</si>
  <si>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</si>
  <si>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</si>
  <si>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</si>
  <si>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</si>
  <si>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</si>
  <si>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</si>
  <si>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</si>
  <si>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</si>
  <si>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</si>
  <si>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</si>
  <si>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</si>
  <si>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</si>
  <si>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</si>
  <si>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</si>
  <si>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</si>
  <si>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</si>
  <si>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</si>
  <si>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</si>
  <si>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</si>
  <si>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</si>
  <si>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</si>
  <si>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</si>
  <si>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</si>
  <si>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</si>
  <si>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</si>
  <si>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</si>
  <si>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</si>
  <si>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</si>
  <si>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</si>
  <si>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</si>
  <si>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</si>
  <si>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</si>
  <si>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</si>
  <si>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</si>
  <si>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</si>
  <si>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</si>
  <si>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</si>
  <si>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</si>
  <si>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</si>
  <si>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</si>
  <si>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</si>
  <si>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</si>
  <si>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</si>
  <si>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</si>
  <si>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</si>
  <si>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</si>
  <si>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</si>
  <si>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</si>
  <si>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</si>
  <si>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</si>
  <si>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</si>
  <si>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</si>
  <si>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</si>
  <si>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</si>
  <si>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</si>
  <si>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</si>
  <si>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</si>
  <si>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</si>
  <si>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</si>
  <si>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</si>
  <si>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</si>
  <si>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</si>
  <si>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</si>
  <si>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</si>
  <si>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</si>
  <si>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</si>
  <si>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</si>
  <si>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</si>
  <si>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</si>
  <si>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</si>
  <si>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</si>
  <si>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</si>
  <si>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</si>
  <si>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</si>
  <si>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</si>
  <si>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</si>
  <si>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</si>
  <si>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</si>
  <si>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</si>
  <si>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</si>
  <si>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</si>
  <si>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</si>
  <si>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</si>
  <si>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</si>
  <si>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</si>
  <si>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</si>
  <si>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</si>
  <si>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</si>
  <si>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</si>
  <si>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</si>
  <si>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</si>
  <si>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</si>
  <si>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</si>
  <si>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</si>
  <si>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</si>
  <si>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</si>
  <si>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</si>
  <si>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</si>
  <si>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</si>
  <si>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</si>
  <si>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</si>
  <si>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</si>
  <si>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</si>
  <si>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</si>
  <si>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</si>
  <si>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</si>
  <si>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</si>
  <si>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</si>
  <si>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</si>
  <si>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</si>
  <si>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</si>
  <si>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</si>
  <si>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</si>
  <si>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</si>
  <si>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</si>
  <si>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</si>
  <si>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</si>
  <si>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</si>
  <si>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</si>
  <si>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</si>
  <si>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</si>
  <si>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</si>
  <si>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</si>
  <si>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</si>
  <si>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</si>
  <si>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</si>
  <si>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</si>
  <si>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</si>
  <si>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</si>
  <si>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</si>
  <si>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</si>
  <si>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</si>
  <si>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</si>
  <si>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</si>
  <si>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</si>
  <si>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</si>
  <si>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</si>
  <si>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</si>
  <si>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</si>
  <si>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</si>
  <si>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</si>
  <si>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</si>
  <si>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</si>
  <si>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</si>
  <si>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</si>
  <si>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</si>
  <si>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</si>
  <si>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</si>
  <si>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</si>
  <si>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</si>
  <si>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</si>
  <si>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</si>
  <si>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</si>
  <si>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</si>
  <si>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</si>
  <si>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</si>
  <si>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</si>
  <si>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</si>
  <si>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</si>
  <si>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</si>
  <si>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</si>
  <si>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</si>
  <si>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</si>
  <si>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</si>
  <si>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</si>
  <si>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</si>
  <si>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</si>
  <si>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</si>
  <si>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</si>
  <si>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</si>
  <si>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</si>
  <si>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</si>
  <si>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</si>
  <si>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</si>
  <si>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</si>
  <si>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</si>
  <si>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</si>
  <si>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</si>
  <si>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</si>
  <si>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</si>
  <si>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</si>
  <si>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</si>
  <si>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</si>
  <si>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</si>
  <si>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</si>
  <si>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</si>
  <si>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</si>
  <si>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</si>
  <si>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</si>
  <si>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</si>
  <si>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</si>
  <si>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</si>
  <si>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</si>
  <si>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</si>
  <si>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</si>
  <si>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</si>
  <si>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</si>
  <si>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</si>
  <si>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</si>
  <si>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</si>
  <si>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</si>
  <si>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</si>
  <si>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</si>
  <si>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</si>
  <si>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</si>
  <si>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</si>
  <si>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</si>
  <si>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</si>
  <si>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</si>
  <si>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</si>
  <si>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</si>
  <si>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</si>
  <si>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</si>
  <si>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</si>
  <si>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</si>
  <si>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</si>
  <si>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</si>
  <si>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</si>
  <si>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</si>
  <si>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</si>
  <si>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</si>
  <si>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</si>
  <si>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</si>
  <si>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</si>
  <si>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</si>
  <si>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</si>
  <si>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</si>
  <si>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</si>
  <si>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</si>
  <si>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</si>
  <si>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</si>
  <si>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</si>
  <si>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</si>
  <si>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</si>
  <si>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</si>
  <si>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</si>
  <si>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</si>
  <si>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</si>
  <si>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</si>
  <si>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</si>
  <si>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</si>
  <si>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</si>
  <si>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</si>
  <si>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</si>
  <si>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</si>
  <si>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</si>
  <si>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</si>
  <si>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</si>
  <si>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</si>
  <si>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</si>
  <si>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</si>
  <si>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</si>
  <si>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</si>
  <si>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</si>
  <si>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</si>
  <si>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</si>
  <si>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</si>
  <si>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</si>
  <si>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</si>
  <si>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</si>
  <si>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</si>
  <si>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</si>
  <si>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</si>
  <si>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</si>
  <si>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</si>
  <si>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</si>
  <si>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</si>
  <si>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</si>
  <si>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</si>
  <si>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</si>
  <si>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</si>
  <si>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</si>
  <si>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</si>
  <si>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</si>
  <si>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</si>
  <si>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</si>
  <si>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</si>
  <si>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</si>
  <si>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</si>
  <si>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</si>
  <si>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</si>
  <si>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</si>
  <si>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</si>
  <si>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</si>
  <si>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</si>
  <si>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</si>
  <si>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</si>
  <si>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</si>
  <si>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</si>
  <si>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</si>
  <si>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</si>
  <si>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</si>
  <si>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</si>
  <si>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</si>
  <si>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</si>
  <si>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</si>
  <si>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</si>
  <si>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</si>
  <si>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</si>
  <si>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</si>
  <si>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</si>
  <si>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</si>
  <si>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</si>
  <si>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</si>
  <si>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</si>
  <si>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</si>
  <si>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</si>
  <si>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</si>
  <si>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</si>
  <si>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</si>
  <si>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</si>
  <si>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</si>
  <si>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</si>
  <si>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</si>
  <si>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</si>
  <si>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</si>
  <si>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</si>
  <si>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</si>
  <si>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</si>
  <si>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</si>
  <si>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</si>
  <si>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</si>
  <si>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</si>
  <si>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</si>
  <si>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</si>
  <si>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</si>
  <si>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</si>
  <si>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</si>
  <si>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</si>
  <si>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</si>
  <si>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</si>
  <si>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</si>
  <si>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</si>
  <si>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</si>
  <si>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</si>
  <si>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</si>
  <si>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</si>
  <si>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</si>
  <si>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</si>
  <si>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</si>
  <si>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</si>
  <si>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</si>
  <si>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</si>
  <si>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</si>
  <si>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</si>
  <si>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</si>
  <si>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</si>
  <si>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</si>
  <si>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</si>
  <si>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</si>
  <si>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</si>
  <si>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</si>
  <si>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</si>
  <si>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</si>
  <si>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</si>
  <si>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</si>
  <si>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</si>
  <si>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</si>
  <si>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</si>
  <si>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</si>
  <si>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</si>
  <si>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</si>
  <si>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</si>
  <si>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</si>
  <si>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</si>
  <si>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</si>
  <si>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</si>
  <si>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</si>
  <si>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</si>
  <si>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</si>
  <si>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</si>
  <si>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</si>
  <si>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</si>
  <si>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</si>
  <si>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</si>
  <si>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</si>
  <si>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</si>
  <si>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</si>
  <si>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</si>
  <si>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</si>
  <si>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</si>
  <si>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</si>
  <si>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</si>
  <si>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</si>
  <si>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</si>
  <si>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</si>
  <si>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</si>
  <si>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</si>
  <si>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</si>
  <si>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</si>
  <si>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</si>
  <si>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</si>
  <si>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</si>
  <si>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</si>
  <si>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</si>
  <si>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</si>
  <si>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</si>
  <si>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</si>
  <si>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</si>
  <si>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</si>
  <si>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</si>
  <si>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</si>
  <si>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</si>
  <si>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</si>
  <si>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</si>
  <si>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</si>
  <si>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</si>
  <si>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</si>
  <si>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</si>
  <si>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</si>
  <si>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</si>
  <si>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</si>
  <si>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</si>
  <si>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</si>
  <si>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</si>
  <si>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</si>
  <si>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</si>
  <si>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</si>
  <si>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</si>
  <si>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</si>
  <si>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</si>
  <si>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</si>
  <si>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</si>
  <si>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</si>
  <si>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</si>
  <si>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</si>
  <si>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</si>
  <si>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</si>
  <si>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</si>
  <si>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</si>
  <si>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</si>
  <si>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</si>
  <si>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</si>
  <si>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</si>
  <si>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</si>
  <si>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</si>
  <si>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</si>
  <si>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</si>
  <si>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</si>
  <si>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</si>
  <si>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</si>
  <si>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</si>
  <si>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</si>
  <si>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</si>
  <si>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</si>
  <si>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</si>
  <si>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</si>
  <si>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</si>
  <si>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</si>
  <si>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</si>
  <si>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</si>
  <si>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</si>
  <si>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</si>
  <si>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</si>
  <si>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</si>
  <si>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</si>
  <si>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</si>
  <si>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</si>
  <si>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</si>
  <si>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</si>
  <si>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</si>
  <si>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</si>
  <si>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</si>
  <si>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</si>
  <si>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</si>
  <si>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</si>
  <si>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</si>
  <si>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</si>
  <si>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</si>
  <si>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</si>
  <si>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</si>
  <si>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</si>
  <si>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</si>
  <si>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</si>
  <si>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</si>
  <si>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</si>
  <si>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</si>
  <si>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</si>
  <si>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</si>
  <si>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</si>
  <si>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</si>
  <si>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</si>
  <si>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</si>
  <si>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</si>
  <si>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</si>
  <si>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</si>
  <si>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</si>
  <si>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</si>
  <si>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</si>
  <si>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</si>
  <si>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</si>
  <si>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</si>
  <si>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</si>
  <si>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</si>
  <si>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</si>
  <si>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</si>
  <si>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</si>
  <si>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</si>
  <si>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</si>
  <si>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</si>
  <si>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</si>
  <si>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</si>
  <si>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</si>
  <si>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</si>
  <si>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</si>
  <si>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</si>
  <si>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</si>
  <si>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</si>
  <si>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</si>
  <si>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</si>
  <si>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</si>
  <si>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</si>
  <si>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</si>
  <si>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</si>
  <si>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</si>
  <si>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</si>
  <si>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</si>
  <si>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</si>
  <si>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</si>
  <si>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</si>
  <si>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</si>
  <si>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</si>
  <si>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</si>
  <si>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</si>
  <si>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</si>
  <si>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</si>
  <si>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</si>
  <si>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</si>
  <si>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</si>
  <si>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</si>
  <si>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</si>
  <si>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</si>
  <si>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</si>
  <si>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</si>
  <si>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</si>
  <si>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</si>
  <si>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</si>
  <si>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</si>
  <si>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</si>
  <si>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</si>
  <si>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</si>
  <si>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</si>
  <si>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</si>
  <si>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</si>
  <si>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</si>
  <si>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</si>
  <si>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</si>
  <si>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</si>
  <si>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</si>
  <si>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</si>
  <si>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</si>
  <si>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</si>
  <si>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</si>
  <si>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</si>
  <si>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</si>
  <si>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</si>
  <si>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</si>
  <si>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</si>
  <si>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</si>
  <si>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</si>
  <si>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</si>
  <si>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</si>
  <si>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</si>
  <si>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</si>
  <si>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</si>
  <si>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</si>
  <si>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</si>
  <si>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</si>
  <si>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</si>
  <si>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</si>
  <si>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</si>
  <si>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</si>
  <si>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</si>
  <si>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</si>
  <si>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</si>
  <si>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</si>
  <si>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</si>
  <si>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</si>
  <si>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</si>
  <si>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</si>
  <si>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</si>
  <si>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</si>
  <si>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</si>
  <si>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</si>
  <si>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</si>
  <si>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</si>
  <si>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</si>
  <si>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</si>
  <si>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</si>
  <si>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</si>
  <si>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</si>
  <si>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</si>
  <si>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</si>
  <si>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</si>
  <si>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</si>
  <si>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</si>
  <si>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</si>
  <si>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</si>
  <si>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</si>
  <si>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</si>
  <si>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</si>
  <si>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</si>
  <si>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</si>
  <si>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</si>
  <si>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</si>
  <si>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</si>
  <si>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</si>
  <si>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</si>
  <si>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</si>
  <si>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</si>
  <si>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</si>
  <si>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</si>
  <si>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</si>
  <si>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</si>
  <si>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</si>
  <si>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</si>
  <si>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</si>
  <si>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</si>
  <si>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</si>
  <si>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</si>
  <si>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</si>
  <si>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</si>
  <si>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</si>
  <si>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</si>
  <si>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</si>
  <si>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</si>
  <si>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</si>
  <si>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</si>
  <si>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</si>
  <si>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</si>
  <si>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</si>
  <si>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</si>
  <si>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</si>
  <si>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</si>
  <si>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</si>
  <si>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</si>
  <si>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</si>
  <si>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</si>
  <si>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</si>
  <si>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</si>
  <si>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</si>
  <si>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</si>
  <si>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</si>
  <si>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</si>
  <si>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</si>
  <si>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</si>
  <si>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</si>
  <si>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</si>
  <si>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</si>
  <si>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</si>
  <si>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</si>
  <si>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</si>
  <si>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</si>
  <si>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</si>
  <si>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</si>
  <si>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</si>
  <si>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</si>
  <si>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</si>
  <si>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</si>
  <si>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</si>
  <si>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</si>
  <si>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</si>
  <si>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</si>
  <si>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</si>
  <si>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</si>
  <si>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</si>
  <si>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</si>
  <si>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</si>
  <si>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</si>
  <si>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</si>
  <si>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</si>
  <si>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</si>
  <si>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</si>
  <si>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</si>
  <si>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</si>
  <si>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</si>
  <si>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</si>
  <si>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</si>
  <si>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</si>
  <si>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</si>
  <si>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</si>
  <si>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</si>
  <si>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</si>
  <si>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</si>
  <si>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</si>
  <si>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</si>
  <si>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</si>
  <si>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</si>
  <si>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</si>
  <si>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</si>
  <si>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</si>
  <si>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</si>
  <si>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</si>
  <si>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</si>
  <si>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</si>
  <si>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</si>
  <si>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</si>
  <si>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</si>
  <si>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</si>
  <si>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</si>
  <si>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</si>
  <si>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</si>
  <si>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</si>
  <si>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</si>
  <si>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</si>
  <si>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</si>
  <si>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</si>
  <si>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</si>
  <si>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</si>
  <si>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</si>
  <si>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</si>
  <si>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</si>
  <si>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</si>
  <si>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</si>
  <si>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</si>
  <si>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</si>
  <si>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</si>
  <si>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</si>
  <si>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</si>
  <si>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</si>
  <si>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</si>
  <si>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</si>
  <si>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</si>
  <si>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</si>
  <si>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</si>
  <si>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</si>
  <si>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</si>
  <si>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</si>
  <si>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</si>
  <si>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</si>
  <si>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</si>
  <si>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</si>
  <si>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</si>
  <si>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</si>
  <si>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</si>
  <si>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</si>
  <si>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</si>
  <si>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</si>
  <si>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</si>
  <si>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</si>
  <si>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</si>
  <si>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</si>
  <si>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</si>
  <si>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</si>
  <si>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</si>
  <si>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</si>
  <si>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</si>
  <si>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</si>
  <si>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</si>
  <si>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</si>
  <si>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</si>
  <si>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</si>
  <si>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</si>
  <si>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</si>
  <si>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</si>
  <si>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</si>
  <si>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</si>
  <si>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</si>
  <si>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</si>
  <si>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</si>
  <si>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</si>
  <si>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</si>
  <si>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</si>
  <si>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</si>
  <si>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</si>
  <si>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</si>
  <si>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</si>
  <si>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</si>
  <si>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</si>
  <si>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</si>
  <si>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</si>
  <si>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</si>
  <si>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</si>
  <si>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</si>
  <si>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</si>
  <si>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</si>
  <si>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</si>
  <si>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</si>
  <si>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</si>
  <si>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</si>
  <si>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</si>
  <si>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</si>
  <si>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</si>
  <si>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</si>
  <si>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</si>
  <si>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</si>
  <si>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</si>
  <si>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</si>
  <si>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</si>
  <si>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</si>
  <si>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</si>
  <si>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</si>
  <si>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</si>
  <si>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</si>
  <si>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</si>
  <si>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</si>
  <si>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</si>
  <si>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</si>
  <si>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</si>
  <si>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</si>
  <si>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</si>
  <si>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</si>
  <si>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</si>
  <si>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</si>
  <si>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</si>
  <si>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</si>
  <si>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</si>
  <si>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</si>
  <si>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</si>
  <si>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</si>
  <si>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</si>
  <si>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</si>
  <si>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</si>
  <si>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</si>
  <si>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</si>
  <si>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</si>
  <si>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</si>
  <si>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</si>
  <si>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</si>
  <si>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</si>
  <si>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</si>
  <si>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</si>
  <si>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</si>
  <si>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</si>
  <si>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</si>
  <si>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</si>
  <si>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</si>
  <si>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</si>
  <si>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</si>
  <si>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</si>
  <si>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</si>
  <si>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</si>
  <si>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</si>
  <si>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</si>
  <si>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</si>
  <si>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</si>
  <si>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</si>
  <si>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</si>
  <si>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</si>
  <si>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</si>
  <si>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</si>
  <si>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</si>
  <si>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</si>
  <si>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</si>
  <si>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</si>
  <si>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</si>
  <si>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</si>
  <si>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</si>
  <si>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</si>
  <si>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</si>
  <si>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</si>
  <si>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</si>
  <si>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</si>
  <si>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</si>
  <si>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</si>
  <si>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</si>
  <si>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</si>
  <si>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</si>
  <si>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</si>
  <si>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</si>
  <si>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</si>
  <si>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</si>
  <si>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</si>
  <si>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</si>
  <si>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</si>
  <si>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</si>
  <si>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</si>
  <si>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</si>
  <si>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</si>
  <si>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</si>
  <si>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</si>
  <si>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</si>
  <si>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</si>
  <si>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</si>
  <si>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</si>
  <si>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</si>
  <si>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</si>
  <si>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</si>
  <si>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</si>
  <si>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</si>
  <si>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</si>
  <si>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</si>
  <si>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</si>
  <si>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</si>
  <si>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</si>
  <si>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</si>
  <si>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</si>
  <si>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</si>
  <si>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</si>
  <si>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</si>
  <si>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</si>
  <si>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</si>
  <si>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</si>
  <si>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</si>
  <si>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</si>
  <si>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</si>
  <si>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</si>
  <si>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</si>
  <si>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</si>
  <si>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</si>
  <si>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</si>
  <si>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</si>
  <si>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</si>
  <si>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</si>
  <si>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</si>
  <si>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</si>
  <si>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</si>
  <si>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</si>
  <si>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</si>
  <si>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</si>
  <si>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</si>
  <si>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</si>
  <si>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</si>
  <si>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</si>
  <si>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</si>
  <si>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</si>
  <si>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</si>
  <si>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</si>
  <si>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</si>
  <si>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</si>
  <si>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</si>
  <si>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</si>
  <si>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</si>
  <si>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</si>
  <si>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</si>
  <si>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</si>
  <si>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</si>
  <si>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</si>
  <si>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</si>
  <si>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</si>
  <si>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</si>
  <si>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</si>
  <si>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</si>
  <si>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</si>
  <si>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</si>
  <si>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</si>
  <si>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</si>
  <si>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</si>
  <si>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</si>
  <si>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</si>
  <si>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</si>
  <si>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</si>
  <si>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</si>
  <si>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</si>
  <si>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</si>
  <si>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</si>
  <si>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</si>
  <si>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</si>
  <si>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</si>
  <si>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</si>
  <si>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</si>
  <si>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</si>
  <si>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</si>
  <si>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</si>
  <si>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</si>
  <si>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</si>
  <si>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</si>
  <si>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</si>
  <si>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</si>
  <si>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</si>
  <si>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</si>
  <si>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</si>
  <si>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</si>
  <si>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</si>
  <si>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</si>
  <si>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</si>
  <si>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</si>
  <si>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</si>
  <si>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</si>
  <si>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</si>
  <si>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</si>
  <si>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</si>
  <si>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</si>
  <si>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</si>
  <si>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</si>
  <si>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</si>
  <si>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</si>
  <si>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</si>
  <si>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</si>
  <si>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</si>
  <si>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</si>
  <si>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</si>
  <si>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</si>
  <si>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</si>
  <si>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</si>
  <si>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</si>
  <si>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</si>
  <si>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</si>
  <si>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</si>
  <si>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</si>
  <si>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</si>
  <si>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</si>
  <si>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</si>
  <si>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</si>
  <si>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</si>
  <si>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</si>
  <si>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</si>
  <si>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</si>
  <si>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</si>
  <si>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</si>
  <si>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</si>
  <si>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</si>
  <si>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</si>
  <si>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</si>
  <si>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</si>
  <si>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</si>
  <si>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</si>
  <si>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</si>
  <si>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</si>
  <si>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</si>
  <si>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</si>
  <si>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</si>
  <si>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</si>
  <si>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</si>
  <si>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</si>
  <si>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</si>
  <si>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</si>
  <si>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</si>
  <si>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</si>
  <si>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</si>
  <si>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</si>
  <si>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</si>
  <si>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</si>
  <si>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</si>
  <si>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</si>
  <si>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</si>
  <si>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</si>
  <si>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</si>
  <si>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</si>
  <si>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</si>
  <si>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</si>
  <si>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</si>
  <si>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</si>
  <si>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</si>
  <si>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</si>
  <si>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</si>
  <si>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</si>
  <si>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</si>
  <si>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</si>
  <si>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</si>
  <si>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</si>
  <si>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</si>
  <si>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</si>
  <si>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</si>
  <si>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</si>
  <si>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</si>
  <si>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</si>
  <si>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</si>
  <si>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</si>
  <si>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</si>
  <si>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</si>
  <si>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</si>
  <si>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</si>
  <si>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</si>
  <si>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</si>
  <si>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</si>
  <si>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</si>
  <si>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</si>
  <si>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</si>
  <si>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</si>
  <si>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</si>
  <si>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</si>
  <si>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</si>
  <si>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</si>
  <si>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</si>
  <si>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</si>
  <si>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</si>
  <si>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</si>
  <si>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</si>
  <si>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</si>
  <si>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</si>
  <si>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</si>
  <si>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</si>
  <si>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</si>
  <si>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</si>
  <si>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</si>
  <si>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</si>
  <si>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</si>
  <si>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</si>
  <si>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</si>
  <si>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</si>
  <si>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</si>
  <si>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</si>
  <si>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</si>
  <si>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</si>
  <si>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</si>
  <si>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</si>
  <si>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</si>
  <si>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</si>
  <si>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</si>
  <si>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</si>
  <si>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</si>
  <si>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</si>
  <si>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</si>
  <si>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</si>
  <si>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</si>
  <si>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</si>
  <si>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</si>
  <si>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</si>
  <si>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</si>
  <si>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</si>
  <si>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</si>
  <si>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</si>
  <si>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</si>
  <si>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</si>
  <si>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</si>
  <si>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</si>
  <si>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</si>
  <si>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</si>
  <si>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</si>
  <si>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</si>
  <si>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</si>
  <si>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</si>
  <si>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</si>
  <si>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</si>
  <si>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</si>
  <si>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</si>
  <si>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</si>
  <si>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</si>
  <si>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</si>
  <si>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</si>
  <si>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</si>
  <si>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</si>
  <si>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</si>
  <si>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</si>
  <si>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</si>
  <si>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</si>
  <si>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</si>
  <si>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</si>
  <si>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</si>
  <si>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</si>
  <si>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</si>
  <si>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</si>
  <si>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</si>
  <si>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</si>
  <si>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</si>
  <si>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</si>
  <si>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</si>
  <si>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</si>
  <si>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</si>
  <si>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</si>
  <si>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</si>
  <si>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</si>
  <si>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</si>
  <si>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</si>
  <si>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</si>
  <si>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</si>
  <si>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</si>
  <si>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</si>
  <si>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</si>
  <si>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</si>
  <si>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</si>
  <si>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</si>
  <si>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</si>
  <si>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</si>
  <si>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</si>
  <si>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</si>
  <si>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</si>
  <si>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</si>
  <si>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</si>
  <si>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</si>
  <si>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</si>
  <si>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</si>
  <si>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</si>
  <si>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</si>
  <si>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</si>
  <si>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</si>
  <si>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</si>
  <si>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</si>
  <si>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</si>
  <si>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</si>
  <si>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</si>
  <si>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</si>
  <si>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</si>
  <si>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</si>
  <si>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</si>
  <si>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</si>
  <si>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</si>
  <si>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</si>
  <si>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</si>
  <si>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</si>
  <si>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</si>
  <si>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</si>
  <si>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</si>
  <si>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</si>
  <si>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</si>
  <si>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</si>
  <si>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</si>
  <si>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</si>
  <si>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</si>
  <si>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</si>
  <si>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</si>
  <si>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</si>
  <si>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</si>
  <si>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</si>
  <si>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</si>
  <si>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</si>
  <si>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</si>
  <si>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</si>
  <si>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</si>
  <si>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</si>
  <si>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</si>
  <si>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</si>
  <si>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</si>
  <si>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</si>
  <si>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</si>
  <si>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</si>
  <si>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</si>
  <si>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</si>
  <si>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</si>
  <si>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</si>
  <si>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</si>
  <si>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</si>
  <si>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</si>
  <si>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</si>
  <si>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</si>
  <si>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</si>
  <si>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</si>
  <si>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</si>
  <si>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</si>
  <si>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</si>
  <si>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</si>
  <si>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</si>
  <si>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</si>
  <si>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</si>
  <si>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</si>
  <si>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</si>
  <si>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</si>
  <si>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</si>
  <si>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</si>
  <si>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</si>
  <si>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</si>
  <si>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</si>
  <si>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</si>
  <si>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</si>
  <si>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</si>
  <si>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</si>
  <si>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</si>
  <si>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</si>
  <si>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</si>
  <si>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</si>
  <si>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</si>
  <si>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</si>
  <si>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</si>
  <si>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</si>
  <si>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</si>
  <si>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</si>
  <si>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</si>
  <si>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</si>
  <si>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</si>
  <si>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</si>
  <si>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</si>
  <si>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</si>
  <si>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</si>
  <si>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</si>
  <si>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</si>
  <si>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</si>
  <si>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</si>
  <si>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</si>
  <si>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</si>
  <si>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</si>
  <si>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</si>
  <si>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</si>
  <si>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</si>
  <si>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</si>
  <si>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</si>
  <si>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</si>
  <si>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</si>
  <si>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</si>
  <si>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</si>
  <si>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</si>
  <si>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</si>
  <si>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</si>
  <si>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</si>
  <si>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</si>
  <si>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</si>
  <si>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</si>
  <si>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</si>
  <si>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</si>
  <si>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</si>
  <si>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</si>
  <si>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</si>
  <si>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</si>
  <si>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</si>
  <si>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</si>
  <si>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</si>
  <si>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</si>
  <si>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</si>
  <si>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</si>
  <si>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</si>
  <si>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</si>
  <si>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</si>
  <si>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</si>
  <si>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</si>
  <si>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</si>
  <si>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</si>
  <si>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</si>
  <si>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</si>
  <si>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</si>
  <si>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</si>
  <si>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</si>
  <si>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</si>
  <si>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</si>
  <si>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</si>
  <si>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</si>
  <si>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</si>
  <si>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</si>
  <si>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</si>
  <si>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</si>
  <si>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</si>
  <si>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</si>
  <si>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</si>
  <si>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</si>
  <si>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</si>
  <si>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</si>
  <si>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</si>
  <si>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</si>
  <si>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</si>
  <si>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</si>
  <si>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</si>
  <si>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</si>
  <si>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</si>
  <si>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</si>
  <si>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</si>
  <si>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</si>
  <si>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</si>
  <si>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</si>
  <si>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</si>
  <si>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</si>
  <si>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</si>
  <si>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</si>
  <si>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</si>
  <si>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</si>
  <si>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</si>
  <si>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</si>
  <si>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</si>
  <si>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</si>
  <si>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</si>
  <si>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</si>
  <si>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</si>
  <si>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</si>
  <si>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</si>
  <si>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</si>
  <si>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</si>
  <si>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</si>
  <si>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</si>
  <si>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</si>
  <si>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</si>
  <si>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</si>
  <si>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</si>
  <si>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</si>
  <si>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</si>
  <si>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</si>
  <si>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</si>
  <si>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</si>
  <si>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</si>
  <si>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</si>
  <si>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</si>
  <si>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</si>
  <si>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</si>
  <si>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</si>
  <si>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</si>
  <si>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</si>
  <si>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</si>
  <si>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</si>
  <si>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</si>
  <si>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</si>
  <si>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</si>
  <si>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</si>
  <si>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</si>
  <si>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</si>
  <si>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</si>
  <si>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</si>
  <si>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</si>
  <si>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</si>
  <si>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</si>
  <si>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</si>
  <si>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</si>
  <si>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</si>
  <si>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</si>
  <si>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</si>
  <si>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</si>
  <si>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</si>
  <si>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</si>
  <si>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</si>
  <si>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</si>
  <si>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</si>
  <si>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</si>
  <si>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</si>
  <si>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</si>
  <si>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</si>
  <si>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</si>
  <si>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</si>
  <si>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</si>
  <si>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</si>
  <si>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</si>
  <si>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</si>
  <si>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</si>
  <si>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</si>
  <si>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</si>
  <si>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</si>
  <si>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</si>
  <si>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</si>
  <si>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</si>
  <si>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</si>
  <si>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</si>
  <si>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</si>
  <si>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</si>
  <si>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</si>
  <si>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</si>
  <si>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</si>
  <si>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</si>
  <si>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</si>
  <si>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</si>
  <si>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</si>
  <si>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</si>
  <si>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</si>
  <si>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</si>
  <si>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</si>
  <si>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</si>
  <si>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</si>
  <si>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</si>
  <si>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</si>
  <si>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</si>
  <si>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</si>
  <si>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</si>
  <si>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</si>
  <si>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</si>
  <si>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</si>
  <si>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</si>
  <si>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</si>
  <si>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</si>
  <si>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</si>
  <si>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</si>
  <si>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</si>
  <si>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</si>
  <si>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</si>
  <si>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</si>
  <si>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</si>
  <si>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</si>
  <si>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</si>
  <si>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</si>
  <si>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</si>
  <si>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</si>
  <si>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</si>
  <si>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</si>
  <si>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</si>
  <si>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</si>
  <si>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</si>
  <si>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</si>
  <si>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</si>
  <si>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</si>
  <si>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</si>
  <si>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</si>
  <si>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</si>
  <si>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</si>
  <si>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</si>
  <si>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</si>
  <si>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</si>
  <si>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</si>
  <si>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</si>
  <si>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</si>
  <si>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</si>
  <si>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</si>
  <si>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</si>
  <si>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</si>
  <si>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</si>
  <si>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</si>
  <si>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</si>
  <si>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</si>
  <si>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</si>
  <si>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</si>
  <si>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</si>
  <si>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</si>
  <si>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</si>
  <si>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</si>
  <si>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</si>
  <si>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</si>
  <si>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</si>
  <si>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</si>
  <si>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</si>
  <si>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</si>
  <si>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</si>
  <si>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</si>
  <si>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</si>
  <si>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</si>
  <si>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</si>
  <si>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</si>
  <si>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</si>
  <si>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</si>
  <si>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</si>
  <si>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</si>
  <si>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</si>
  <si>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</si>
  <si>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</si>
  <si>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</si>
  <si>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</si>
  <si>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</si>
  <si>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</si>
  <si>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</si>
  <si>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</si>
  <si>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</si>
  <si>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</si>
  <si>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</si>
  <si>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</si>
  <si>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</si>
  <si>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</si>
  <si>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</si>
  <si>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</si>
  <si>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</si>
  <si>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</si>
  <si>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</si>
  <si>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</si>
  <si>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</si>
  <si>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</si>
  <si>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</si>
  <si>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</si>
  <si>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</si>
  <si>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</si>
  <si>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</si>
  <si>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</si>
  <si>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</si>
  <si>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</si>
  <si>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</si>
  <si>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</si>
  <si>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</si>
  <si>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</si>
  <si>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</si>
  <si>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</si>
  <si>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</si>
  <si>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</si>
  <si>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</si>
  <si>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</si>
  <si>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</si>
  <si>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</si>
  <si>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</si>
  <si>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</si>
  <si>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</si>
  <si>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</si>
  <si>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</si>
  <si>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</si>
  <si>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</si>
  <si>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</si>
  <si>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</si>
  <si>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</si>
  <si>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</si>
  <si>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</si>
  <si>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</si>
  <si>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</si>
  <si>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</si>
  <si>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</si>
  <si>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</si>
  <si>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</si>
  <si>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</si>
  <si>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</si>
  <si>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</si>
  <si>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</si>
  <si>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</si>
  <si>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</si>
  <si>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</si>
  <si>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</si>
  <si>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</si>
  <si>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</si>
  <si>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</si>
  <si>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</si>
  <si>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</si>
  <si>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</si>
  <si>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</si>
  <si>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</si>
  <si>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</si>
  <si>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</si>
  <si>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</si>
  <si>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</si>
  <si>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</si>
  <si>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</si>
  <si>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</si>
  <si>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</si>
  <si>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</si>
  <si>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</si>
  <si>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</si>
  <si>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</si>
  <si>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</si>
  <si>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</si>
  <si>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</si>
  <si>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</si>
  <si>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</si>
  <si>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</si>
  <si>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</si>
  <si>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</si>
  <si>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</si>
  <si>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</si>
  <si>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</si>
  <si>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</si>
  <si>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</si>
  <si>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</si>
  <si>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</si>
  <si>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</si>
  <si>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</si>
  <si>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</si>
  <si>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</si>
  <si>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</si>
  <si>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</si>
  <si>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</si>
  <si>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</si>
  <si>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</si>
  <si>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</si>
  <si>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</si>
  <si>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</si>
  <si>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</si>
  <si>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</si>
  <si>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</si>
  <si>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</si>
  <si>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</si>
  <si>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</si>
  <si>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</si>
  <si>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</si>
  <si>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</si>
  <si>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</si>
  <si>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</si>
  <si>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</si>
  <si>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</si>
  <si>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</si>
  <si>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</si>
  <si>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</si>
  <si>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</si>
  <si>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</si>
  <si>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</si>
  <si>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</si>
  <si>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</si>
  <si>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</si>
  <si>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</si>
  <si>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</si>
  <si>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</si>
  <si>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</si>
  <si>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</si>
  <si>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</si>
  <si>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</si>
  <si>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</si>
  <si>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</si>
  <si>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</si>
  <si>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</si>
  <si>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</si>
  <si>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</si>
  <si>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</si>
  <si>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</si>
  <si>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</si>
  <si>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</si>
  <si>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</si>
  <si>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</si>
  <si>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</si>
  <si>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</si>
  <si>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</si>
  <si>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</si>
  <si>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</si>
  <si>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</si>
  <si>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</si>
  <si>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</si>
  <si>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</si>
  <si>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</si>
  <si>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</si>
  <si>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</si>
  <si>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</si>
  <si>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</si>
  <si>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</si>
  <si>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</si>
  <si>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</si>
  <si>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</si>
  <si>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</si>
  <si>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</si>
  <si>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</si>
  <si>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</si>
  <si>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</si>
  <si>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</si>
  <si>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</si>
  <si>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</si>
  <si>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</si>
  <si>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</si>
  <si>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</si>
  <si>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</si>
  <si>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</si>
  <si>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</si>
  <si>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</si>
  <si>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</si>
  <si>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</si>
  <si>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</si>
  <si>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</si>
  <si>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</si>
  <si>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</si>
  <si>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</si>
  <si>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</si>
  <si>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</si>
  <si>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</si>
  <si>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</si>
  <si>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</si>
  <si>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</si>
  <si>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</si>
  <si>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</si>
  <si>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</si>
  <si>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</si>
  <si>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</si>
  <si>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</si>
  <si>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</si>
  <si>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</si>
  <si>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</si>
  <si>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</si>
  <si>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</si>
  <si>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</si>
  <si>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</si>
  <si>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</si>
  <si>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</si>
  <si>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</si>
  <si>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</si>
  <si>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</si>
  <si>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</si>
  <si>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</si>
  <si>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</si>
  <si>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</si>
  <si>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</si>
  <si>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</si>
  <si>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</si>
  <si>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</si>
  <si>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</si>
  <si>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</si>
  <si>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</si>
  <si>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</si>
  <si>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</si>
  <si>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</si>
  <si>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</si>
  <si>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</si>
  <si>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</si>
  <si>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</si>
  <si>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</si>
  <si>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</si>
  <si>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</si>
  <si>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</si>
  <si>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</si>
  <si>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</si>
  <si>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</si>
  <si>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</si>
  <si>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</si>
  <si>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</si>
  <si>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</si>
  <si>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</si>
  <si>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</si>
  <si>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</si>
  <si>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</si>
  <si>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</si>
  <si>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</si>
  <si>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</si>
  <si>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</si>
  <si>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</si>
  <si>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</si>
  <si>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</si>
  <si>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</si>
  <si>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</si>
  <si>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</si>
  <si>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</si>
  <si>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</si>
  <si>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</si>
  <si>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</si>
  <si>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</si>
  <si>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</si>
  <si>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</si>
  <si>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</si>
  <si>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</si>
  <si>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</si>
  <si>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</si>
  <si>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</si>
  <si>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</si>
  <si>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</si>
  <si>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</si>
  <si>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</si>
  <si>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</si>
  <si>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</si>
  <si>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</si>
  <si>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</si>
  <si>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</si>
  <si>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</si>
  <si>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</si>
  <si>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</si>
  <si>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</si>
  <si>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</si>
  <si>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</si>
  <si>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</si>
  <si>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</si>
  <si>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</si>
  <si>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</si>
  <si>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</si>
  <si>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</si>
  <si>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</si>
  <si>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</si>
  <si>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</si>
  <si>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</si>
  <si>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</si>
  <si>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</si>
  <si>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</si>
  <si>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</si>
  <si>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</si>
  <si>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</si>
  <si>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</si>
  <si>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</si>
  <si>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</si>
  <si>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</si>
  <si>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</si>
  <si>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</si>
  <si>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</si>
  <si>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</si>
  <si>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</si>
  <si>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</si>
  <si>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</si>
  <si>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</si>
  <si>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</si>
  <si>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</si>
  <si>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</si>
  <si>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</si>
  <si>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</si>
  <si>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</si>
  <si>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</si>
  <si>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</si>
  <si>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</si>
  <si>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</si>
  <si>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</si>
  <si>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</si>
  <si>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</si>
  <si>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</si>
  <si>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</si>
  <si>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</si>
  <si>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</si>
  <si>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</si>
  <si>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</si>
  <si>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</si>
  <si>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</si>
  <si>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</si>
  <si>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</si>
  <si>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</si>
  <si>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</si>
  <si>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</si>
  <si>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</si>
  <si>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</si>
  <si>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</si>
  <si>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</si>
  <si>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</si>
  <si>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</si>
  <si>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</si>
  <si>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</si>
  <si>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</si>
  <si>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</si>
  <si>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</si>
  <si>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</si>
  <si>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</si>
  <si>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</si>
  <si>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</si>
  <si>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</si>
  <si>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</si>
  <si>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</si>
  <si>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</si>
  <si>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</si>
  <si>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</si>
  <si>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</si>
  <si>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</si>
  <si>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</si>
  <si>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</si>
  <si>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</si>
  <si>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</si>
  <si>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</si>
  <si>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</si>
  <si>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</si>
  <si>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</si>
  <si>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</si>
  <si>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</si>
  <si>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</si>
  <si>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</si>
  <si>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</si>
  <si>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</si>
  <si>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</si>
  <si>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</si>
  <si>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</si>
  <si>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</si>
  <si>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</si>
  <si>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</si>
  <si>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</si>
  <si>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</si>
  <si>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</si>
  <si>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</si>
  <si>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</si>
  <si>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</si>
  <si>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</si>
  <si>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</si>
  <si>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</si>
  <si>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</si>
  <si>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</si>
  <si>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</si>
  <si>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</si>
  <si>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</si>
  <si>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</si>
  <si>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</si>
  <si>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</si>
  <si>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</si>
  <si>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</si>
  <si>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</si>
  <si>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</si>
  <si>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</si>
  <si>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</si>
  <si>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</si>
  <si>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</si>
  <si>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</si>
  <si>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</si>
  <si>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</si>
  <si>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</si>
  <si>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</si>
  <si>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</si>
  <si>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</si>
  <si>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</si>
  <si>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</si>
  <si>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</si>
  <si>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</si>
  <si>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</si>
  <si>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</si>
  <si>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</si>
  <si>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</si>
  <si>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</si>
  <si>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</si>
  <si>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</si>
  <si>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</si>
  <si>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</si>
  <si>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</si>
  <si>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</si>
  <si>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</si>
  <si>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</si>
  <si>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</si>
  <si>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</si>
  <si>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</si>
  <si>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</si>
  <si>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</si>
  <si>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</si>
  <si>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</si>
  <si>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</si>
  <si>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</si>
  <si>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</si>
  <si>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</si>
  <si>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</si>
  <si>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</si>
  <si>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</si>
  <si>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</si>
  <si>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</si>
  <si>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</si>
  <si>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</si>
  <si>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</si>
  <si>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</si>
  <si>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</si>
  <si>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</si>
  <si>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</si>
  <si>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</si>
  <si>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</si>
  <si>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</si>
  <si>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</si>
  <si>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</si>
  <si>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</si>
  <si>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</si>
  <si>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</si>
  <si>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</si>
  <si>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</si>
  <si>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</si>
  <si>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</si>
  <si>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</si>
  <si>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</si>
  <si>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</si>
  <si>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</si>
  <si>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</si>
  <si>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</si>
  <si>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</si>
  <si>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</si>
  <si>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</si>
  <si>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</si>
  <si>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</si>
  <si>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</si>
  <si>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</si>
  <si>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</si>
  <si>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</si>
  <si>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</si>
  <si>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</si>
  <si>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</si>
  <si>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</si>
  <si>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</si>
  <si>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</si>
  <si>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</si>
  <si>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</si>
  <si>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</si>
  <si>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</si>
  <si>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</si>
  <si>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</si>
  <si>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</si>
  <si>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</si>
  <si>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</si>
  <si>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</si>
  <si>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</si>
  <si>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</si>
  <si>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</si>
  <si>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</si>
  <si>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</si>
  <si>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</si>
  <si>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</si>
  <si>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</si>
  <si>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</si>
  <si>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</si>
  <si>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</si>
  <si>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</si>
  <si>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</si>
  <si>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</si>
  <si>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</si>
  <si>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</si>
  <si>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</si>
  <si>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</si>
  <si>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</si>
  <si>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</si>
  <si>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</si>
  <si>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</si>
  <si>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</si>
  <si>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</si>
  <si>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</si>
  <si>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</si>
  <si>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</si>
  <si>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</si>
  <si>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</si>
  <si>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</si>
  <si>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</si>
  <si>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</si>
  <si>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</si>
  <si>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</si>
  <si>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</si>
  <si>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</si>
  <si>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</si>
  <si>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</si>
  <si>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</si>
  <si>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</si>
  <si>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</si>
  <si>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</si>
  <si>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</si>
  <si>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</si>
  <si>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</si>
  <si>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</si>
  <si>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</si>
  <si>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</si>
  <si>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</si>
  <si>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</si>
  <si>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</si>
  <si>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</si>
  <si>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</si>
  <si>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</si>
  <si>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</si>
  <si>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</si>
  <si>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</si>
  <si>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</si>
  <si>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</si>
  <si>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</si>
  <si>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</si>
  <si>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</si>
  <si>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</si>
  <si>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</si>
  <si>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</si>
  <si>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</si>
  <si>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</si>
  <si>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</si>
  <si>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</si>
  <si>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</si>
  <si>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</si>
  <si>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</si>
  <si>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</si>
  <si>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</si>
  <si>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</si>
  <si>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</si>
  <si>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</si>
  <si>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</si>
  <si>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</si>
  <si>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</si>
  <si>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</si>
  <si>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</si>
  <si>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</si>
  <si>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</si>
  <si>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</si>
  <si>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</si>
  <si>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</si>
  <si>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</si>
  <si>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</si>
  <si>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</si>
  <si>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</si>
  <si>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</si>
  <si>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</si>
  <si>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</si>
  <si>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</si>
  <si>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</si>
  <si>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</si>
  <si>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</si>
  <si>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</si>
  <si>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</si>
  <si>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</si>
  <si>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</si>
  <si>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</si>
  <si>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</si>
  <si>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</si>
  <si>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</si>
  <si>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</si>
  <si>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</si>
  <si>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</si>
  <si>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</si>
  <si>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</si>
  <si>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</si>
  <si>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</si>
  <si>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</si>
  <si>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</si>
  <si>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</si>
  <si>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</si>
  <si>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</si>
  <si>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</si>
  <si>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</si>
  <si>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</si>
  <si>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</si>
  <si>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</si>
  <si>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</si>
  <si>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</si>
  <si>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</si>
  <si>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</si>
  <si>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</si>
  <si>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</si>
  <si>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</si>
  <si>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</si>
  <si>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</si>
  <si>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</si>
  <si>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</si>
  <si>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</si>
  <si>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</si>
  <si>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</si>
  <si>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</si>
  <si>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</si>
  <si>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</si>
  <si>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</si>
  <si>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</si>
  <si>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</si>
  <si>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</si>
  <si>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</si>
  <si>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</si>
  <si>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</si>
  <si>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</si>
  <si>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</si>
  <si>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</si>
  <si>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</si>
  <si>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</si>
  <si>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</si>
  <si>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</si>
  <si>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</si>
  <si>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</si>
  <si>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</si>
  <si>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</si>
  <si>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</si>
  <si>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</si>
  <si>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</si>
  <si>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</si>
  <si>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</si>
  <si>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</si>
  <si>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</si>
  <si>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</si>
  <si>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</si>
  <si>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</si>
  <si>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</si>
  <si>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</si>
  <si>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</si>
  <si>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</si>
  <si>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</si>
  <si>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</si>
  <si>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</si>
  <si>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</si>
  <si>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</si>
  <si>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</si>
  <si>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</si>
  <si>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</si>
  <si>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</si>
  <si>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</si>
  <si>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</si>
  <si>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</si>
  <si>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</si>
  <si>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</si>
  <si>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</si>
  <si>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</si>
  <si>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</si>
  <si>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</si>
  <si>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</si>
  <si>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</si>
  <si>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</si>
  <si>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</si>
  <si>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</si>
  <si>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</si>
  <si>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</si>
  <si>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</si>
  <si>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</si>
  <si>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</si>
  <si>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</si>
  <si>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</si>
  <si>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</si>
  <si>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</si>
  <si>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</si>
  <si>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</si>
  <si>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</si>
  <si>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</si>
  <si>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</si>
  <si>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</si>
  <si>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</si>
  <si>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</si>
  <si>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</si>
  <si>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</si>
  <si>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</si>
  <si>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</si>
  <si>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</si>
  <si>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</si>
  <si>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</si>
  <si>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</si>
  <si>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</si>
  <si>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</si>
  <si>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</si>
  <si>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</si>
  <si>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</si>
  <si>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</si>
  <si>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</si>
  <si>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</si>
  <si>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</si>
  <si>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</si>
  <si>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</si>
  <si>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</si>
  <si>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</si>
  <si>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</si>
  <si>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</si>
  <si>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</si>
  <si>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</si>
  <si>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</si>
  <si>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</si>
  <si>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</si>
  <si>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</si>
  <si>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</si>
  <si>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</si>
  <si>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</si>
  <si>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</si>
  <si>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</si>
  <si>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</si>
  <si>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</si>
  <si>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</si>
  <si>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</si>
  <si>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</si>
  <si>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</si>
  <si>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</si>
  <si>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</si>
  <si>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</si>
  <si>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</si>
  <si>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</si>
  <si>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</si>
  <si>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</si>
  <si>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</si>
  <si>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</si>
  <si>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</si>
  <si>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</si>
  <si>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</si>
  <si>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</si>
  <si>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</si>
  <si>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</si>
  <si>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</si>
  <si>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</si>
  <si>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</si>
  <si>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</si>
  <si>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</si>
  <si>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</si>
  <si>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</si>
  <si>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</si>
  <si>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</si>
  <si>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</si>
  <si>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</si>
  <si>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</si>
  <si>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</si>
  <si>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</si>
  <si>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</si>
  <si>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</si>
  <si>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</si>
  <si>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</si>
  <si>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</si>
  <si>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</si>
  <si>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</si>
  <si>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</si>
  <si>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</si>
  <si>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</si>
  <si>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</si>
  <si>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</si>
  <si>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</si>
  <si>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</si>
  <si>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</si>
  <si>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</si>
  <si>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</si>
  <si>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</si>
  <si>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</si>
  <si>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</si>
  <si>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</si>
  <si>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</si>
  <si>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</si>
  <si>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</si>
  <si>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</si>
  <si>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</si>
  <si>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</si>
  <si>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</si>
  <si>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</si>
  <si>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</si>
  <si>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</si>
  <si>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</si>
  <si>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</si>
  <si>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</si>
  <si>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</si>
  <si>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</si>
  <si>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</si>
  <si>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</si>
  <si>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</si>
  <si>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</si>
  <si>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</si>
  <si>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</si>
  <si>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</si>
  <si>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</si>
  <si>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</si>
  <si>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</si>
  <si>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</si>
  <si>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</si>
  <si>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</si>
  <si>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</si>
  <si>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</si>
  <si>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</si>
  <si>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</si>
  <si>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</si>
  <si>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</si>
  <si>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</si>
  <si>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</si>
  <si>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</si>
  <si>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</si>
  <si>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</si>
  <si>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</si>
  <si>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</si>
  <si>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</si>
  <si>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</si>
  <si>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</si>
  <si>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</si>
  <si>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</si>
  <si>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</si>
  <si>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</si>
  <si>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</si>
  <si>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</si>
  <si>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</si>
  <si>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</si>
  <si>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</si>
  <si>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</si>
  <si>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</si>
  <si>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</si>
  <si>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</si>
  <si>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</si>
  <si>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</si>
  <si>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</si>
  <si>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</si>
  <si>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</si>
  <si>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</si>
  <si>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</si>
  <si>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</si>
  <si>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</si>
  <si>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</si>
  <si>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</si>
  <si>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</si>
  <si>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</si>
  <si>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</si>
  <si>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</si>
  <si>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</si>
  <si>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</si>
  <si>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</si>
  <si>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</si>
  <si>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</si>
  <si>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</si>
  <si>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</si>
  <si>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</si>
  <si>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</si>
  <si>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</si>
  <si>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</si>
  <si>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</si>
  <si>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</si>
  <si>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</si>
  <si>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</si>
  <si>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</si>
  <si>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</si>
  <si>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</si>
  <si>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</si>
  <si>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</si>
  <si>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</si>
  <si>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</si>
  <si>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</si>
  <si>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</si>
  <si>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</si>
  <si>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</si>
  <si>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</si>
  <si>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</si>
  <si>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</si>
  <si>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</si>
  <si>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</si>
  <si>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</si>
  <si>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</si>
  <si>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</si>
  <si>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</si>
  <si>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</si>
  <si>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</si>
  <si>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</si>
  <si>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</si>
  <si>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</si>
  <si>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</si>
  <si>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</si>
  <si>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</si>
  <si>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</si>
  <si>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</si>
  <si>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</si>
  <si>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</si>
  <si>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</si>
  <si>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</si>
  <si>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</si>
  <si>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</si>
  <si>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</si>
  <si>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</si>
  <si>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</si>
  <si>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</si>
  <si>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</si>
  <si>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</si>
  <si>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</si>
  <si>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</si>
  <si>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</si>
  <si>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</si>
  <si>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</si>
  <si>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</si>
  <si>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</si>
  <si>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</si>
  <si>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</si>
  <si>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</si>
  <si>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</si>
  <si>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</si>
  <si>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</si>
  <si>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</si>
  <si>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</si>
  <si>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</si>
  <si>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</si>
  <si>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</si>
  <si>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</si>
  <si>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</si>
  <si>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</si>
  <si>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</si>
  <si>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</si>
  <si>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</si>
  <si>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</si>
  <si>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</si>
  <si>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Deinzermetall GmbH</t>
  </si>
  <si>
    <t>Fertigung und Verkauf von Produkten im Bereich Blechbearbeitung wie CNC-Stanz- und Lasertechnologie, Rohrschneiden, Laserschweißen</t>
  </si>
  <si>
    <t>quality management (representative)</t>
  </si>
  <si>
    <t>Kellermannstraße 22, 90455 Nuremberg / Germany</t>
  </si>
  <si>
    <t xml:space="preserve">Andreas Kleindienst / Jürgen Pfund </t>
  </si>
  <si>
    <t>qs@deinzermetall.de</t>
  </si>
  <si>
    <t>+499219281536</t>
  </si>
  <si>
    <t>+4991292815526</t>
  </si>
  <si>
    <t>+499129281511</t>
  </si>
  <si>
    <t>Ralf Sulzer</t>
  </si>
  <si>
    <t>production manager/ authorized representative</t>
  </si>
  <si>
    <t>r.sulzer@deinzermetall.de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</si>
</sst>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u/>
      <sz val="10"/>
      <color rgb="FF0000FF"/>
      <name val="Verdana"/>
      <family val="2"/>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7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style="thin">
        <color rgb="FF003366"/>
      </right>
      <top style="thin">
        <color indexed="56"/>
      </top>
      <bottom/>
      <diagonal/>
    </border>
    <border>
      <left/>
      <right style="thin">
        <color rgb="FF003366"/>
      </right>
      <top style="thin">
        <color indexed="56"/>
      </top>
      <bottom style="thin">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0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7" borderId="60" xfId="0" applyFont="1" applyFill="1" applyBorder="1" applyAlignment="1" applyProtection="1">
      <alignment horizontal="left" vertical="center" wrapText="1"/>
      <protection locked="0"/>
    </xf>
    <xf numFmtId="0" fontId="15" fillId="37" borderId="28" xfId="0" applyFont="1" applyFill="1" applyBorder="1" applyAlignment="1" applyProtection="1">
      <alignment horizontal="left" vertical="center" wrapText="1"/>
      <protection locked="0"/>
    </xf>
    <xf numFmtId="0" fontId="15" fillId="37" borderId="68"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15" fillId="37" borderId="58" xfId="0" applyNumberFormat="1" applyFont="1" applyFill="1" applyBorder="1" applyAlignment="1" applyProtection="1">
      <alignment horizontal="left" vertical="center" wrapText="1"/>
      <protection locked="0"/>
    </xf>
    <xf numFmtId="49" fontId="15" fillId="37" borderId="10" xfId="0" applyNumberFormat="1" applyFont="1" applyFill="1" applyBorder="1" applyAlignment="1" applyProtection="1">
      <alignment horizontal="left" vertical="center" wrapText="1"/>
      <protection locked="0"/>
    </xf>
    <xf numFmtId="49" fontId="15" fillId="37" borderId="69"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102" fillId="37" borderId="58" xfId="487" applyNumberFormat="1" applyFont="1" applyFill="1" applyBorder="1" applyAlignment="1">
      <alignment horizontal="center" vertical="center" wrapText="1"/>
      <protection locked="0"/>
    </xf>
    <xf numFmtId="49" fontId="102" fillId="37" borderId="10" xfId="487" applyNumberFormat="1" applyFont="1" applyFill="1" applyBorder="1" applyAlignment="1">
      <alignment horizontal="center" vertical="center" wrapText="1"/>
      <protection locked="0"/>
    </xf>
    <xf numFmtId="49" fontId="102" fillId="37" borderId="69" xfId="487" applyNumberFormat="1" applyFont="1" applyFill="1" applyBorder="1" applyAlignment="1">
      <alignment horizontal="center"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qs@deinzermetall.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r.sulzer@deinzermetall.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13"/>
      <c r="B2" s="5" t="s">
        <v>818</v>
      </c>
      <c r="C2" s="3"/>
      <c r="D2" s="175"/>
      <c r="E2" s="3"/>
      <c r="F2" s="3"/>
      <c r="G2" s="25"/>
    </row>
    <row r="3" spans="1:7">
      <c r="A3" s="313"/>
      <c r="B3" s="3" t="s">
        <v>811</v>
      </c>
      <c r="C3" s="5"/>
      <c r="D3" s="176"/>
      <c r="E3" s="3"/>
      <c r="F3" s="5"/>
      <c r="G3" s="25"/>
    </row>
    <row r="4" spans="1:7" ht="15.75">
      <c r="A4" s="313"/>
      <c r="B4" s="30" t="s">
        <v>820</v>
      </c>
      <c r="C4" s="6"/>
      <c r="D4" s="177"/>
      <c r="E4" s="3"/>
      <c r="F4" s="6"/>
      <c r="G4" s="25"/>
    </row>
    <row r="5" spans="1:7">
      <c r="A5" s="313"/>
      <c r="B5" s="29" t="s">
        <v>1009</v>
      </c>
      <c r="C5" s="4"/>
      <c r="D5" s="178"/>
      <c r="E5" s="3"/>
      <c r="F5" s="4"/>
      <c r="G5" s="25"/>
    </row>
    <row r="6" spans="1:7">
      <c r="A6" s="313"/>
      <c r="B6" s="3"/>
      <c r="C6" s="3"/>
      <c r="D6" s="175"/>
      <c r="E6" s="3"/>
      <c r="F6" s="3"/>
      <c r="G6" s="25"/>
    </row>
    <row r="7" spans="1:7">
      <c r="A7" s="313"/>
      <c r="B7" s="3"/>
      <c r="C7" s="3"/>
      <c r="D7" s="175"/>
      <c r="E7" s="3"/>
      <c r="F7" s="3"/>
      <c r="G7" s="25"/>
    </row>
    <row r="8" spans="1:7">
      <c r="A8" s="313"/>
      <c r="B8" s="3"/>
      <c r="C8" s="3"/>
      <c r="D8" s="175"/>
      <c r="E8" s="3"/>
      <c r="F8" s="3"/>
      <c r="G8" s="25"/>
    </row>
    <row r="9" spans="1:7">
      <c r="A9" s="313"/>
      <c r="B9" s="316" t="s">
        <v>821</v>
      </c>
      <c r="C9" s="316"/>
      <c r="D9" s="316"/>
      <c r="E9" s="316"/>
      <c r="F9" s="316"/>
      <c r="G9" s="25"/>
    </row>
    <row r="10" spans="1:7" ht="27" customHeight="1">
      <c r="A10" s="313"/>
      <c r="B10" s="317" t="s">
        <v>425</v>
      </c>
      <c r="C10" s="317"/>
      <c r="D10" s="317"/>
      <c r="E10" s="317"/>
      <c r="F10" s="317"/>
      <c r="G10" s="25"/>
    </row>
    <row r="11" spans="1:7" ht="27" customHeight="1">
      <c r="A11" s="313"/>
      <c r="B11" s="318"/>
      <c r="C11" s="318"/>
      <c r="D11" s="318"/>
      <c r="E11" s="318"/>
      <c r="F11" s="318"/>
      <c r="G11" s="25"/>
    </row>
    <row r="12" spans="1:7">
      <c r="A12" s="313"/>
      <c r="B12" s="31" t="s">
        <v>819</v>
      </c>
      <c r="C12" s="32" t="s">
        <v>822</v>
      </c>
      <c r="D12" s="179" t="s">
        <v>823</v>
      </c>
      <c r="E12" s="32" t="s">
        <v>595</v>
      </c>
      <c r="F12" s="32" t="s">
        <v>596</v>
      </c>
      <c r="G12" s="25"/>
    </row>
    <row r="13" spans="1:7" ht="33.75">
      <c r="A13" s="313"/>
      <c r="B13" s="2">
        <v>1</v>
      </c>
      <c r="C13" s="27" t="s">
        <v>1057</v>
      </c>
      <c r="D13" s="28" t="s">
        <v>847</v>
      </c>
      <c r="E13" s="163" t="s">
        <v>824</v>
      </c>
      <c r="F13" s="163"/>
      <c r="G13" s="25"/>
    </row>
    <row r="14" spans="1:7" ht="33.75">
      <c r="A14" s="313"/>
      <c r="B14" s="2">
        <v>2</v>
      </c>
      <c r="C14" s="27" t="s">
        <v>1057</v>
      </c>
      <c r="D14" s="28" t="s">
        <v>994</v>
      </c>
      <c r="E14" s="163" t="s">
        <v>515</v>
      </c>
      <c r="F14" s="163" t="s">
        <v>516</v>
      </c>
      <c r="G14" s="25"/>
    </row>
    <row r="15" spans="1:7" ht="89.1" customHeight="1">
      <c r="A15" s="313"/>
      <c r="B15" s="298">
        <v>2.0099999999999998</v>
      </c>
      <c r="C15" s="310" t="s">
        <v>1057</v>
      </c>
      <c r="D15" s="319" t="s">
        <v>2198</v>
      </c>
      <c r="E15" s="164" t="s">
        <v>597</v>
      </c>
      <c r="F15" s="164" t="s">
        <v>600</v>
      </c>
      <c r="G15" s="25"/>
    </row>
    <row r="16" spans="1:7" ht="99" customHeight="1">
      <c r="A16" s="313"/>
      <c r="B16" s="299"/>
      <c r="C16" s="311"/>
      <c r="D16" s="320"/>
      <c r="E16" s="165"/>
      <c r="F16" s="165" t="s">
        <v>598</v>
      </c>
      <c r="G16" s="25"/>
    </row>
    <row r="17" spans="1:7" ht="63" customHeight="1">
      <c r="A17" s="313"/>
      <c r="B17" s="300"/>
      <c r="C17" s="312"/>
      <c r="D17" s="321"/>
      <c r="E17" s="27"/>
      <c r="F17" s="27" t="s">
        <v>599</v>
      </c>
      <c r="G17" s="25"/>
    </row>
    <row r="18" spans="1:7" ht="117" customHeight="1">
      <c r="A18" s="313"/>
      <c r="B18" s="298">
        <v>2.02</v>
      </c>
      <c r="C18" s="310" t="s">
        <v>1057</v>
      </c>
      <c r="D18" s="319" t="s">
        <v>2199</v>
      </c>
      <c r="E18" s="164" t="s">
        <v>426</v>
      </c>
      <c r="F18" s="164" t="s">
        <v>510</v>
      </c>
      <c r="G18" s="25"/>
    </row>
    <row r="19" spans="1:7" ht="71.099999999999994" customHeight="1">
      <c r="A19" s="313"/>
      <c r="B19" s="299"/>
      <c r="C19" s="311"/>
      <c r="D19" s="320"/>
      <c r="E19" s="165" t="s">
        <v>514</v>
      </c>
      <c r="F19" s="165" t="s">
        <v>427</v>
      </c>
      <c r="G19" s="25"/>
    </row>
    <row r="20" spans="1:7" ht="90.75" customHeight="1">
      <c r="A20" s="313"/>
      <c r="B20" s="299"/>
      <c r="C20" s="311"/>
      <c r="D20" s="320"/>
      <c r="E20" s="165"/>
      <c r="F20" s="165" t="s">
        <v>602</v>
      </c>
      <c r="G20" s="25"/>
    </row>
    <row r="21" spans="1:7" ht="74.25" customHeight="1">
      <c r="A21" s="313"/>
      <c r="B21" s="300"/>
      <c r="C21" s="312"/>
      <c r="D21" s="321"/>
      <c r="E21" s="27"/>
      <c r="F21" s="27" t="s">
        <v>601</v>
      </c>
      <c r="G21" s="25"/>
    </row>
    <row r="22" spans="1:7" ht="90" customHeight="1">
      <c r="A22" s="313"/>
      <c r="B22" s="304">
        <v>2.0299999999999998</v>
      </c>
      <c r="C22" s="304" t="s">
        <v>794</v>
      </c>
      <c r="D22" s="307" t="s">
        <v>2200</v>
      </c>
      <c r="E22" s="310" t="s">
        <v>424</v>
      </c>
      <c r="F22" s="164" t="s">
        <v>447</v>
      </c>
      <c r="G22" s="25"/>
    </row>
    <row r="23" spans="1:7" ht="109.5" customHeight="1">
      <c r="A23" s="313"/>
      <c r="B23" s="305"/>
      <c r="C23" s="305"/>
      <c r="D23" s="308"/>
      <c r="E23" s="311"/>
      <c r="F23" s="165" t="s">
        <v>795</v>
      </c>
      <c r="G23" s="25"/>
    </row>
    <row r="24" spans="1:7" ht="74.25" customHeight="1">
      <c r="A24" s="313"/>
      <c r="B24" s="306"/>
      <c r="C24" s="306"/>
      <c r="D24" s="309"/>
      <c r="E24" s="312"/>
      <c r="F24" s="27" t="s">
        <v>423</v>
      </c>
      <c r="G24" s="25"/>
    </row>
    <row r="25" spans="1:7" ht="72" customHeight="1">
      <c r="A25" s="313"/>
      <c r="B25" s="2" t="s">
        <v>445</v>
      </c>
      <c r="C25" s="27" t="s">
        <v>446</v>
      </c>
      <c r="D25" s="28" t="s">
        <v>2201</v>
      </c>
      <c r="E25" s="27" t="s">
        <v>2196</v>
      </c>
      <c r="F25" s="27" t="s">
        <v>448</v>
      </c>
      <c r="G25" s="25"/>
    </row>
    <row r="26" spans="1:7" ht="98.1" customHeight="1">
      <c r="A26" s="313"/>
      <c r="B26" s="301">
        <v>3</v>
      </c>
      <c r="C26" s="298" t="s">
        <v>66</v>
      </c>
      <c r="D26" s="319" t="s">
        <v>2202</v>
      </c>
      <c r="E26" s="310" t="s">
        <v>0</v>
      </c>
      <c r="F26" s="164" t="s">
        <v>60</v>
      </c>
      <c r="G26" s="25"/>
    </row>
    <row r="27" spans="1:7" ht="90" customHeight="1">
      <c r="A27" s="313"/>
      <c r="B27" s="302"/>
      <c r="C27" s="299"/>
      <c r="D27" s="320"/>
      <c r="E27" s="311"/>
      <c r="F27" s="165" t="s">
        <v>55</v>
      </c>
      <c r="G27" s="25"/>
    </row>
    <row r="28" spans="1:7" ht="19.350000000000001" customHeight="1">
      <c r="A28" s="313"/>
      <c r="B28" s="302"/>
      <c r="C28" s="299"/>
      <c r="D28" s="320"/>
      <c r="E28" s="311"/>
      <c r="F28" s="165" t="s">
        <v>56</v>
      </c>
      <c r="G28" s="25"/>
    </row>
    <row r="29" spans="1:7" ht="74.45" customHeight="1">
      <c r="A29" s="313"/>
      <c r="B29" s="302"/>
      <c r="C29" s="299"/>
      <c r="D29" s="320"/>
      <c r="E29" s="311"/>
      <c r="F29" s="165" t="s">
        <v>57</v>
      </c>
      <c r="G29" s="25"/>
    </row>
    <row r="30" spans="1:7" ht="62.45" customHeight="1">
      <c r="A30" s="313"/>
      <c r="B30" s="302"/>
      <c r="C30" s="299"/>
      <c r="D30" s="320"/>
      <c r="E30" s="311"/>
      <c r="F30" s="165" t="s">
        <v>58</v>
      </c>
      <c r="G30" s="25"/>
    </row>
    <row r="31" spans="1:7" ht="81" customHeight="1">
      <c r="A31" s="313"/>
      <c r="B31" s="302"/>
      <c r="C31" s="299"/>
      <c r="D31" s="320"/>
      <c r="E31" s="311"/>
      <c r="F31" s="165" t="s">
        <v>59</v>
      </c>
      <c r="G31" s="25"/>
    </row>
    <row r="32" spans="1:7" ht="48.75" customHeight="1">
      <c r="A32" s="313"/>
      <c r="B32" s="302"/>
      <c r="C32" s="299"/>
      <c r="D32" s="320"/>
      <c r="E32" s="311"/>
      <c r="F32" s="165" t="s">
        <v>62</v>
      </c>
      <c r="G32" s="25"/>
    </row>
    <row r="33" spans="1:7" ht="98.45" customHeight="1">
      <c r="A33" s="313"/>
      <c r="B33" s="302"/>
      <c r="C33" s="299"/>
      <c r="D33" s="320"/>
      <c r="E33" s="311"/>
      <c r="F33" s="165" t="s">
        <v>61</v>
      </c>
      <c r="G33" s="25"/>
    </row>
    <row r="34" spans="1:7" ht="89.1" customHeight="1">
      <c r="A34" s="313"/>
      <c r="B34" s="302"/>
      <c r="C34" s="299"/>
      <c r="D34" s="320"/>
      <c r="E34" s="311"/>
      <c r="F34" s="165" t="s">
        <v>63</v>
      </c>
      <c r="G34" s="25"/>
    </row>
    <row r="35" spans="1:7" ht="29.1" customHeight="1">
      <c r="A35" s="313"/>
      <c r="B35" s="302"/>
      <c r="C35" s="299"/>
      <c r="D35" s="320"/>
      <c r="E35" s="311"/>
      <c r="F35" s="165" t="s">
        <v>64</v>
      </c>
      <c r="G35" s="25"/>
    </row>
    <row r="36" spans="1:7" ht="126.75">
      <c r="A36" s="313"/>
      <c r="B36" s="303"/>
      <c r="C36" s="300"/>
      <c r="D36" s="321"/>
      <c r="E36" s="312"/>
      <c r="F36" s="166" t="s">
        <v>65</v>
      </c>
      <c r="G36" s="25"/>
    </row>
    <row r="37" spans="1:7" ht="112.5">
      <c r="A37" s="313"/>
      <c r="B37" s="141">
        <v>3.01</v>
      </c>
      <c r="C37" s="142" t="s">
        <v>66</v>
      </c>
      <c r="D37" s="28" t="s">
        <v>2203</v>
      </c>
      <c r="E37" s="167" t="s">
        <v>1294</v>
      </c>
      <c r="F37" s="168" t="s">
        <v>1396</v>
      </c>
      <c r="G37" s="25"/>
    </row>
    <row r="38" spans="1:7" ht="101.25">
      <c r="A38" s="313"/>
      <c r="B38" s="141">
        <v>3.02</v>
      </c>
      <c r="C38" s="142" t="s">
        <v>1326</v>
      </c>
      <c r="D38" s="28" t="s">
        <v>2204</v>
      </c>
      <c r="E38" s="167" t="s">
        <v>1341</v>
      </c>
      <c r="F38" s="168" t="s">
        <v>1397</v>
      </c>
      <c r="G38" s="25"/>
    </row>
    <row r="39" spans="1:7" ht="101.25">
      <c r="A39" s="313"/>
      <c r="B39" s="150">
        <v>4</v>
      </c>
      <c r="C39" s="149" t="s">
        <v>1492</v>
      </c>
      <c r="D39" s="28" t="s">
        <v>2205</v>
      </c>
      <c r="E39" s="27" t="s">
        <v>2151</v>
      </c>
      <c r="F39" s="27" t="s">
        <v>1493</v>
      </c>
      <c r="G39" s="25"/>
    </row>
    <row r="40" spans="1:7" ht="56.25">
      <c r="A40" s="313"/>
      <c r="B40" s="141">
        <v>4.01</v>
      </c>
      <c r="C40" s="149" t="s">
        <v>1492</v>
      </c>
      <c r="D40" s="28" t="s">
        <v>2207</v>
      </c>
      <c r="E40" s="27" t="s">
        <v>2163</v>
      </c>
      <c r="F40" s="27" t="s">
        <v>2167</v>
      </c>
      <c r="G40" s="25"/>
    </row>
    <row r="41" spans="1:7" ht="56.25">
      <c r="A41" s="313"/>
      <c r="B41" s="141" t="s">
        <v>2194</v>
      </c>
      <c r="C41" s="149" t="s">
        <v>1492</v>
      </c>
      <c r="D41" s="28" t="s">
        <v>2206</v>
      </c>
      <c r="E41" s="27" t="s">
        <v>2197</v>
      </c>
      <c r="F41" s="27" t="s">
        <v>2195</v>
      </c>
      <c r="G41" s="25"/>
    </row>
    <row r="42" spans="1:7" ht="56.25">
      <c r="A42" s="313"/>
      <c r="B42" s="141" t="s">
        <v>2228</v>
      </c>
      <c r="C42" s="149" t="s">
        <v>1492</v>
      </c>
      <c r="D42" s="28" t="s">
        <v>2233</v>
      </c>
      <c r="E42" s="27" t="s">
        <v>2196</v>
      </c>
      <c r="F42" s="27" t="s">
        <v>2229</v>
      </c>
      <c r="G42" s="25"/>
    </row>
    <row r="43" spans="1:7" ht="123.75">
      <c r="A43" s="313"/>
      <c r="B43" s="160">
        <v>4.0999999999999996</v>
      </c>
      <c r="C43" s="149" t="s">
        <v>2232</v>
      </c>
      <c r="D43" s="161">
        <v>42867</v>
      </c>
      <c r="E43" s="169" t="s">
        <v>2235</v>
      </c>
      <c r="F43" s="27" t="s">
        <v>2234</v>
      </c>
      <c r="G43" s="25"/>
    </row>
    <row r="44" spans="1:7" ht="78.75">
      <c r="A44" s="313"/>
      <c r="B44" s="160">
        <v>4.2</v>
      </c>
      <c r="C44" s="149" t="s">
        <v>2232</v>
      </c>
      <c r="D44" s="161">
        <v>42704</v>
      </c>
      <c r="E44" s="169" t="s">
        <v>2431</v>
      </c>
      <c r="F44" s="27" t="s">
        <v>2406</v>
      </c>
      <c r="G44" s="25"/>
    </row>
    <row r="45" spans="1:7" ht="157.5">
      <c r="A45" s="313"/>
      <c r="B45" s="202">
        <v>5</v>
      </c>
      <c r="C45" s="149" t="s">
        <v>2232</v>
      </c>
      <c r="D45" s="161">
        <v>42867</v>
      </c>
      <c r="E45" s="169" t="s">
        <v>12652</v>
      </c>
      <c r="F45" s="27" t="s">
        <v>12374</v>
      </c>
      <c r="G45" s="25"/>
    </row>
    <row r="46" spans="1:7" ht="45">
      <c r="A46" s="313"/>
      <c r="B46" s="160">
        <v>5.01</v>
      </c>
      <c r="C46" s="149" t="s">
        <v>2232</v>
      </c>
      <c r="D46" s="161">
        <v>42907</v>
      </c>
      <c r="E46" s="169" t="s">
        <v>15329</v>
      </c>
      <c r="F46" s="27" t="s">
        <v>12374</v>
      </c>
      <c r="G46" s="25"/>
    </row>
    <row r="47" spans="1:7" ht="67.5">
      <c r="A47" s="313"/>
      <c r="B47" s="160">
        <v>5.0999999999999996</v>
      </c>
      <c r="C47" s="149" t="s">
        <v>2232</v>
      </c>
      <c r="D47" s="161">
        <v>43070</v>
      </c>
      <c r="E47" s="169" t="s">
        <v>12862</v>
      </c>
      <c r="F47" s="27" t="s">
        <v>12863</v>
      </c>
      <c r="G47" s="25"/>
    </row>
    <row r="48" spans="1:7" ht="56.25">
      <c r="A48" s="313"/>
      <c r="B48" s="160">
        <v>5.1100000000000003</v>
      </c>
      <c r="C48" s="149" t="s">
        <v>13097</v>
      </c>
      <c r="D48" s="161">
        <v>43217</v>
      </c>
      <c r="E48" s="169" t="s">
        <v>13199</v>
      </c>
      <c r="F48" s="27" t="s">
        <v>13124</v>
      </c>
      <c r="G48" s="25"/>
    </row>
    <row r="49" spans="1:7" ht="56.25">
      <c r="A49" s="313"/>
      <c r="B49" s="160">
        <v>5.12</v>
      </c>
      <c r="C49" s="149" t="s">
        <v>13097</v>
      </c>
      <c r="D49" s="161">
        <v>43581</v>
      </c>
      <c r="E49" s="169" t="s">
        <v>13199</v>
      </c>
      <c r="F49" s="27" t="s">
        <v>13741</v>
      </c>
      <c r="G49" s="25"/>
    </row>
    <row r="50" spans="1:7" ht="78.75">
      <c r="A50" s="313"/>
      <c r="B50" s="202">
        <v>6</v>
      </c>
      <c r="C50" s="149" t="s">
        <v>13097</v>
      </c>
      <c r="D50" s="161">
        <v>43964</v>
      </c>
      <c r="E50" s="169" t="s">
        <v>13953</v>
      </c>
      <c r="F50" s="27" t="s">
        <v>13744</v>
      </c>
      <c r="G50" s="25"/>
    </row>
    <row r="51" spans="1:7" ht="45">
      <c r="A51" s="313"/>
      <c r="B51" s="160">
        <v>6.01</v>
      </c>
      <c r="C51" s="149" t="s">
        <v>13097</v>
      </c>
      <c r="D51" s="161">
        <v>43970</v>
      </c>
      <c r="E51" s="169" t="s">
        <v>15330</v>
      </c>
      <c r="F51" s="169" t="s">
        <v>13744</v>
      </c>
      <c r="G51" s="25"/>
    </row>
    <row r="52" spans="1:7" ht="45">
      <c r="A52" s="313"/>
      <c r="B52" s="160">
        <v>6.1</v>
      </c>
      <c r="C52" s="149" t="s">
        <v>13097</v>
      </c>
      <c r="D52" s="161">
        <v>44314</v>
      </c>
      <c r="E52" s="169" t="s">
        <v>15323</v>
      </c>
      <c r="F52" s="169" t="s">
        <v>14913</v>
      </c>
      <c r="G52" s="25"/>
    </row>
    <row r="53" spans="1:7" ht="45">
      <c r="A53" s="313"/>
      <c r="B53" s="160">
        <v>6.2</v>
      </c>
      <c r="C53" s="149" t="s">
        <v>13097</v>
      </c>
      <c r="D53" s="161">
        <v>44678</v>
      </c>
      <c r="E53" s="169" t="s">
        <v>15323</v>
      </c>
      <c r="F53" s="169" t="s">
        <v>15322</v>
      </c>
      <c r="G53" s="25"/>
    </row>
    <row r="54" spans="1:7" ht="45">
      <c r="A54" s="313"/>
      <c r="B54" s="160">
        <v>6.21</v>
      </c>
      <c r="C54" s="149" t="s">
        <v>13097</v>
      </c>
      <c r="D54" s="161">
        <v>44687</v>
      </c>
      <c r="E54" s="169" t="s">
        <v>15331</v>
      </c>
      <c r="F54" s="169" t="s">
        <v>15322</v>
      </c>
      <c r="G54" s="25"/>
    </row>
    <row r="55" spans="1:7" ht="45">
      <c r="A55" s="313"/>
      <c r="B55" s="160">
        <v>6.22</v>
      </c>
      <c r="C55" s="149" t="s">
        <v>13097</v>
      </c>
      <c r="D55" s="275">
        <v>44692</v>
      </c>
      <c r="E55" s="169" t="s">
        <v>15330</v>
      </c>
      <c r="F55" s="169" t="s">
        <v>15322</v>
      </c>
      <c r="G55" s="25"/>
    </row>
    <row r="56" spans="1:7" ht="56.25">
      <c r="A56" s="313"/>
      <c r="B56" s="202">
        <v>6.3</v>
      </c>
      <c r="C56" s="149" t="s">
        <v>13097</v>
      </c>
      <c r="D56" s="275">
        <v>45051</v>
      </c>
      <c r="E56" s="169" t="s">
        <v>15590</v>
      </c>
      <c r="F56" s="169" t="s">
        <v>15371</v>
      </c>
      <c r="G56" s="25"/>
    </row>
    <row r="57" spans="1:7" ht="45">
      <c r="A57" s="313"/>
      <c r="B57" s="160">
        <v>6.31</v>
      </c>
      <c r="C57" s="149" t="s">
        <v>13097</v>
      </c>
      <c r="D57" s="275">
        <v>45072</v>
      </c>
      <c r="E57" s="169" t="s">
        <v>15592</v>
      </c>
      <c r="F57" s="169" t="s">
        <v>15371</v>
      </c>
      <c r="G57" s="25"/>
    </row>
    <row r="58" spans="1:7" ht="40.5" customHeight="1">
      <c r="A58" s="313"/>
      <c r="B58" s="202">
        <v>6.4</v>
      </c>
      <c r="C58" s="149" t="s">
        <v>13097</v>
      </c>
      <c r="D58" s="275">
        <v>45408</v>
      </c>
      <c r="E58" s="169" t="s">
        <v>15594</v>
      </c>
      <c r="F58" s="169" t="s">
        <v>15593</v>
      </c>
      <c r="G58" s="25"/>
    </row>
    <row r="59" spans="1:7" ht="32.450000000000003" customHeight="1">
      <c r="A59" s="313"/>
      <c r="B59" s="202">
        <v>6.5</v>
      </c>
      <c r="C59" s="149" t="s">
        <v>13097</v>
      </c>
      <c r="D59" s="275">
        <v>45772</v>
      </c>
      <c r="E59" s="169" t="s">
        <v>15669</v>
      </c>
      <c r="F59" s="169" t="s">
        <v>15720</v>
      </c>
      <c r="G59" s="25"/>
    </row>
    <row r="60" spans="1:7" ht="13.5" thickBot="1">
      <c r="A60" s="314"/>
      <c r="B60" s="315" t="str">
        <f ca="1">OFFSET(L!$C$1,MATCH("General"&amp;"Cpy",L!$A:$A,0)-1,SL,,)</f>
        <v>© 2025 Responsible Minerals Initiative. All rights reserved.</v>
      </c>
      <c r="C60" s="315"/>
      <c r="D60" s="315"/>
      <c r="E60" s="315"/>
      <c r="F60" s="31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041084E-AD8C-4A1C-90F1-3658DEF5A64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2E9FF60-4503-4260-91DA-080252723A6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abSelected="1"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429</v>
      </c>
    </row>
    <row r="2" spans="1:2" ht="30">
      <c r="A2" s="105" t="str">
        <f ca="1">OFFSET(L!$C$1,MATCH("Instructions"&amp;ADDRESS(ROW(),COLUMN(),4),L!$A:$A,0)-1,SL,,)</f>
        <v>Einführung</v>
      </c>
      <c r="B2" s="100" t="s">
        <v>1270</v>
      </c>
    </row>
    <row r="3" spans="1:2" ht="180">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1271</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1277</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1270</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1269</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1270</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1270</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1270</v>
      </c>
    </row>
    <row r="24" spans="1:2" ht="80.4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1273</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1270</v>
      </c>
    </row>
    <row r="26" spans="1:2" ht="280.7"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1270</v>
      </c>
    </row>
    <row r="27" spans="1:2" ht="30">
      <c r="A27" s="102" t="str">
        <f ca="1">OFFSET(L!$C$1,MATCH("Instructions"&amp;ADDRESS(ROW(),COLUMN(),4),L!$A:$A,0)-1,SL,,)</f>
        <v>Manche Unternehmen benötigen eine Begründung für eine "Nein" -Antwort im Kommentarfeld</v>
      </c>
      <c r="B27" s="100" t="s">
        <v>1270</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3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1270</v>
      </c>
    </row>
    <row r="30" spans="1:2" ht="181.7"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1270</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1273</v>
      </c>
    </row>
    <row r="33" spans="1:2" ht="60">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1270</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1270</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1272</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4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1275</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1273</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1274</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1270</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1271</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1270</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1270</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1269</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1270</v>
      </c>
    </row>
    <row r="52" spans="1:2" ht="44.4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8.95"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1270</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1269</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1275</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1269</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1269</v>
      </c>
    </row>
    <row r="58" spans="1:2" ht="60">
      <c r="A58" s="102" t="str">
        <f ca="1">OFFSET(L!$C$1,MATCH("Instructions"&amp;ADDRESS(ROW(),COLUMN(),4),L!$A:$A,0)-1,SL,,)</f>
        <v>8. Straße der Schmelzhütte – Geben Sie den Straßennamen des Schmelzhüttenstandortes an. Das Ausfüllen dieses Feldes ist freiwillig.</v>
      </c>
      <c r="B58" s="100" t="s">
        <v>1269</v>
      </c>
    </row>
    <row r="59" spans="1:2" ht="30">
      <c r="A59" s="102" t="str">
        <f ca="1">OFFSET(L!$C$1,MATCH("Instructions"&amp;ADDRESS(ROW(),COLUMN(),4),L!$A:$A,0)-1,SL,,)</f>
        <v>9. Ort der Schmelzhütte – Geben Sie den Namen des Ortes an, in dem sich die Schmelzhütte befindet. Das Ausfüllen dieses Feldes ist freiwillig.</v>
      </c>
      <c r="B59" s="100" t="s">
        <v>1270</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1273</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1273</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1269</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1269</v>
      </c>
    </row>
    <row r="64" spans="1:2" ht="136.3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4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1270</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1276</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1274</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4"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2"/>
      <c r="B1" s="323"/>
      <c r="C1" s="323"/>
      <c r="D1" s="324"/>
    </row>
    <row r="2" spans="1:5" ht="71.25" customHeight="1">
      <c r="A2" s="74"/>
      <c r="B2" s="137" t="str">
        <f ca="1">OFFSET(L!$C$1,MATCH("Definitions"&amp;ADDRESS(ROW(),COLUMN(),4),L!$A:$A,0)-1,SL,,)</f>
        <v>Posten</v>
      </c>
      <c r="C2" s="137" t="str">
        <f ca="1">OFFSET(L!$C$1,MATCH("Definitions"&amp;ADDRESS(ROW(),COLUMN(),4),L!$A:$A,0)-1,SL,,)</f>
        <v>Definition</v>
      </c>
      <c r="D2" s="326"/>
      <c r="E2" s="101"/>
    </row>
    <row r="3" spans="1:5" ht="63.95" customHeight="1">
      <c r="A3" s="74"/>
      <c r="B3" s="63" t="str">
        <f ca="1">OFFSET(L!$C$1,MATCH("Definitions"&amp;ADDRESS(ROW(),COLUMN(),4),L!$A:$A,0)-1,SL,,)</f>
        <v>3TG</v>
      </c>
      <c r="C3" s="63" t="str">
        <f ca="1">OFFSET(L!$C$1,MATCH("Definitions"&amp;ADDRESS(ROW(),COLUMN(),4),L!$A:$A,0)-1,SL,,)</f>
        <v>Zinn, Tantal, Wolfram, Gold</v>
      </c>
      <c r="D3" s="326"/>
      <c r="E3" s="100" t="s">
        <v>1278</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6"/>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6"/>
      <c r="E5" s="100"/>
    </row>
    <row r="6" spans="1:5" ht="151.3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6"/>
      <c r="E6" s="100" t="s">
        <v>1279</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6"/>
      <c r="E7" s="100" t="s">
        <v>1279</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6"/>
      <c r="E8" s="100" t="s">
        <v>1282</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6"/>
      <c r="E9" s="100" t="s">
        <v>1279</v>
      </c>
    </row>
    <row r="10" spans="1:5" ht="45">
      <c r="A10" s="74"/>
      <c r="B10" s="63" t="str">
        <f ca="1">OFFSET(L!$C$1,MATCH("Definitions"&amp;ADDRESS(ROW(),COLUMN(),4),L!$A:$A,0)-1,SL,,)</f>
        <v>DRK</v>
      </c>
      <c r="C10" s="63" t="str">
        <f ca="1">OFFSET(L!$C$1,MATCH("Definitions"&amp;ADDRESS(ROW(),COLUMN(),4),L!$A:$A,0)-1,SL,,)</f>
        <v>Demokratische Republik Kongo</v>
      </c>
      <c r="D10" s="326"/>
      <c r="E10" s="100" t="s">
        <v>1278</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6"/>
      <c r="E11" s="100" t="s">
        <v>1278</v>
      </c>
    </row>
    <row r="12" spans="1:5" ht="7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v>
      </c>
      <c r="D12" s="326"/>
      <c r="E12" s="100" t="s">
        <v>1278</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6"/>
      <c r="E13" s="100" t="s">
        <v>1280</v>
      </c>
    </row>
    <row r="14" spans="1:5" ht="315">
      <c r="A14" s="74"/>
      <c r="B14" s="63" t="str">
        <f ca="1">OFFSET(L!$C$1,MATCH("Definitions"&amp;ADDRESS(ROW(),COLUMN(),4),L!$A:$A,0)-1,SL,,)</f>
        <v>Absichtlich hinzugefügt</v>
      </c>
      <c r="C14" s="63" t="str">
        <f ca="1">OFFSET(L!$C$1,MATCH("Definitions"&amp;ADDRESS(ROW(),COLUMN(),4),L!$A:$A,0)-1,SL,,)</f>
        <v>"Absichtlich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6"/>
      <c r="E14" s="100" t="s">
        <v>1278</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6"/>
      <c r="E15" s="100" t="s">
        <v>1278</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6"/>
      <c r="E16" s="100" t="s">
        <v>1278</v>
      </c>
    </row>
    <row r="17" spans="1:5" ht="25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6"/>
      <c r="E17" s="100" t="s">
        <v>1278</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6"/>
      <c r="E18" s="100" t="s">
        <v>1278</v>
      </c>
    </row>
    <row r="19" spans="1:5" ht="15">
      <c r="A19" s="74"/>
      <c r="B19" s="63" t="str">
        <f ca="1">OFFSET(L!$C$1,MATCH("Definitions"&amp;ADDRESS(ROW(),COLUMN(),4),L!$A:$A,0)-1,SL,,)</f>
        <v>OECD</v>
      </c>
      <c r="C19" s="63" t="str">
        <f ca="1">OFFSET(L!$C$1,MATCH("Definitions"&amp;ADDRESS(ROW(),COLUMN(),4),L!$A:$A,0)-1,SL,,)</f>
        <v>Organisation für wirtschaftliche Zusammenarbeit und Entwicklung</v>
      </c>
      <c r="D19" s="326"/>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6"/>
      <c r="E20" s="100"/>
    </row>
    <row r="21" spans="1:5" ht="15">
      <c r="A21" s="74"/>
      <c r="B21" s="63" t="str">
        <f ca="1">OFFSET(L!$C$1,MATCH("Definitions"&amp;ADDRESS(ROW(),COLUMN(),4),L!$A:$A,0)-1,SL,,)</f>
        <v>RBA</v>
      </c>
      <c r="C21" s="63" t="str">
        <f ca="1">OFFSET(L!$C$1,MATCH("Definitions"&amp;ADDRESS(ROW(),COLUMN(),4),L!$A:$A,0)-1,SL,,)</f>
        <v>Responsible Business Alliance (www.responsiblebusiness.org)</v>
      </c>
      <c r="D21" s="326"/>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6"/>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6"/>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6"/>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v>
      </c>
      <c r="D25" s="326"/>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6"/>
      <c r="E26" s="100" t="s">
        <v>1280</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6"/>
      <c r="E27" s="100" t="s">
        <v>1278</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6"/>
      <c r="E28" s="100" t="s">
        <v>1279</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v>
      </c>
      <c r="D29" s="326"/>
      <c r="E29" s="100" t="s">
        <v>1280</v>
      </c>
    </row>
    <row r="30" spans="1:5" ht="135"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v>
      </c>
      <c r="D30" s="326"/>
      <c r="E30" s="100" t="s">
        <v>1281</v>
      </c>
    </row>
    <row r="31" spans="1:5" ht="132.9499999999999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v>
      </c>
      <c r="D31" s="326"/>
      <c r="E31" s="100"/>
    </row>
    <row r="32" spans="1:5" ht="15">
      <c r="A32" s="74"/>
      <c r="B32" s="325" t="str">
        <f ca="1">OFFSET(L!$C$1,MATCH("General"&amp;"Cpy",L!$A:$A,0)-1,SL,,)</f>
        <v>© 2025 Responsible Minerals Initiative. All rights reserved.</v>
      </c>
      <c r="C32" s="325"/>
      <c r="D32" s="326"/>
      <c r="E32" s="100"/>
    </row>
    <row r="33" spans="1:4" ht="13.5" thickBot="1">
      <c r="A33" s="75"/>
      <c r="B33" s="153"/>
      <c r="C33" s="153"/>
      <c r="D33" s="327"/>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68" zoomScalePageLayoutView="70" workbookViewId="0">
      <selection activeCell="E95" sqref="E95"/>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3"/>
      <c r="B1" s="344"/>
      <c r="C1" s="344"/>
      <c r="D1" s="344"/>
      <c r="E1" s="344"/>
      <c r="F1" s="344"/>
      <c r="G1" s="344"/>
      <c r="H1" s="344"/>
      <c r="I1" s="344"/>
      <c r="J1" s="344"/>
      <c r="K1" s="345"/>
      <c r="L1" s="100"/>
      <c r="P1" s="3"/>
      <c r="Q1" s="3"/>
      <c r="R1" s="3"/>
      <c r="S1" s="3"/>
      <c r="T1" s="3"/>
      <c r="U1" s="3"/>
      <c r="V1" s="3"/>
      <c r="W1" s="3"/>
      <c r="X1" s="3"/>
      <c r="Y1" s="3"/>
      <c r="Z1" s="3"/>
      <c r="AA1" s="3"/>
      <c r="AB1" s="3"/>
      <c r="AC1" s="3"/>
      <c r="AD1" s="3"/>
      <c r="AE1" s="3"/>
      <c r="AF1" s="3"/>
      <c r="AG1" s="3"/>
      <c r="AH1" s="3"/>
    </row>
    <row r="2" spans="1:34" ht="82.35" customHeight="1">
      <c r="A2" s="34"/>
      <c r="B2" s="136"/>
      <c r="C2" s="35"/>
      <c r="D2" s="346" t="str">
        <f ca="1">OFFSET(L!$C$1,MATCH("Declaration"&amp;ADDRESS(ROW(),COLUMN(),4),L!$A:$A,0)-1,SL,,)</f>
        <v>Conflict Minerals Reporting Template (CMRT)</v>
      </c>
      <c r="E2" s="347"/>
      <c r="F2" s="347"/>
      <c r="G2" s="347"/>
      <c r="H2" s="347"/>
      <c r="I2" s="347"/>
      <c r="J2" s="34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521</v>
      </c>
      <c r="E3" s="3"/>
      <c r="F3" s="362"/>
      <c r="G3" s="362"/>
      <c r="H3" s="362"/>
      <c r="I3" s="152"/>
      <c r="J3" s="138" t="s">
        <v>15733</v>
      </c>
      <c r="K3" s="36"/>
      <c r="L3" s="100"/>
      <c r="P3" s="45">
        <f>MATCH($D$3,LN,0)</f>
        <v>7</v>
      </c>
    </row>
    <row r="4" spans="1:34" ht="15.75">
      <c r="A4" s="34"/>
      <c r="B4" s="352" t="str">
        <f ca="1">OFFSET(L!$C$1,MATCH("Declaration"&amp;ADDRESS(ROW(),COLUMN(),4),L!$A:$A,0)-1,SL,,)</f>
        <v>Der Zweck dieses Dokuments ist die Erfassung von Beschaffungsinformationen für Zinn, Tantal, Wolfram und Gold, welche in Produkten genutzt werden.</v>
      </c>
      <c r="C4" s="352"/>
      <c r="D4" s="352"/>
      <c r="E4" s="352"/>
      <c r="F4" s="352"/>
      <c r="G4" s="352"/>
      <c r="H4" s="352"/>
      <c r="I4" s="363" t="str">
        <f ca="1">OFFSET(L!$C$1,MATCH("Declaration"&amp;ADDRESS(ROW(),COLUMN(),4),L!$A:$A,0)-1,SL,,)</f>
        <v>Link zu den Bedingungen</v>
      </c>
      <c r="J4" s="363"/>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2" t="str">
        <f ca="1">OFFSET(L!$C$1,MATCH("Declaration"&amp;ADDRESS(ROW(),COLUMN(),4),L!$A:$A,0)-1,SL,,)</f>
        <v>Pflichtfelder sind mit einem Sternchen (*) gekennzeichnet.  Im Tab „Instruktionen“ finden Sie eine Anleitung zur Beantwortung aller Fragen.</v>
      </c>
      <c r="C6" s="352"/>
      <c r="D6" s="352"/>
      <c r="E6" s="352"/>
      <c r="F6" s="352"/>
      <c r="G6" s="352"/>
      <c r="H6" s="352"/>
      <c r="I6" s="352"/>
      <c r="J6" s="352"/>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7" t="str">
        <f ca="1">OFFSET(L!$C$1,MATCH("Declaration"&amp;ADDRESS(ROW(),COLUMN(),4),L!$A:$A,0)-1,SL,,)</f>
        <v>Firmenangaben</v>
      </c>
      <c r="C7" s="367"/>
      <c r="D7" s="367"/>
      <c r="E7" s="367"/>
      <c r="F7" s="367"/>
      <c r="G7" s="367"/>
      <c r="H7" s="367"/>
      <c r="I7" s="367"/>
      <c r="J7" s="367"/>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49" t="s">
        <v>15817</v>
      </c>
      <c r="E8" s="350"/>
      <c r="F8" s="350"/>
      <c r="G8" s="350"/>
      <c r="H8" s="350"/>
      <c r="I8" s="350"/>
      <c r="J8" s="351"/>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64" t="s">
        <v>481</v>
      </c>
      <c r="E9" s="365"/>
      <c r="F9" s="365"/>
      <c r="G9" s="366"/>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8" t="str">
        <f ca="1">OFFSET(L!$C$1,MATCH("Declaration"&amp;ADDRESS(ROW(),COLUMN(),4)&amp;LEFT($D$9,1),L!$A:$A,0)-1,SL,,)</f>
        <v>Beschreibung des Geltungsbereichs</v>
      </c>
      <c r="C10" s="122"/>
      <c r="D10" s="353" t="s">
        <v>15818</v>
      </c>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5.75">
      <c r="A11" s="38"/>
      <c r="B11" s="369"/>
      <c r="C11" s="122"/>
      <c r="D11" s="375" t="str">
        <f ca="1">IF(D9=Q9,OFFSET(L!$C$1,MATCH("Declaration"&amp;ADDRESS(ROW(),COLUMN(),4),L!$A:$A,0)-1,SL,,),"")</f>
        <v/>
      </c>
      <c r="E11" s="376"/>
      <c r="F11" s="376"/>
      <c r="G11" s="376"/>
      <c r="H11" s="376"/>
      <c r="I11" s="376"/>
      <c r="J11" s="37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56"/>
      <c r="E12" s="357"/>
      <c r="F12" s="357"/>
      <c r="G12" s="357"/>
      <c r="H12" s="357"/>
      <c r="I12" s="357"/>
      <c r="J12" s="358"/>
      <c r="K12" s="36"/>
      <c r="L12" s="115"/>
      <c r="Q12" s="3"/>
      <c r="R12" s="3"/>
      <c r="S12" s="3"/>
      <c r="T12" s="3"/>
      <c r="U12" s="3"/>
      <c r="V12" s="3"/>
      <c r="W12" s="3"/>
      <c r="X12" s="3"/>
      <c r="Y12" s="3"/>
      <c r="Z12" s="3"/>
      <c r="AA12" s="3"/>
      <c r="AB12" s="3"/>
      <c r="AC12" s="3"/>
      <c r="AD12" s="3"/>
      <c r="AE12" s="3"/>
      <c r="AF12" s="3"/>
      <c r="AG12" s="3"/>
      <c r="AH12" s="3"/>
    </row>
    <row r="13" spans="1:34" ht="15.75" customHeight="1">
      <c r="A13" s="38"/>
      <c r="B13" s="40" t="str">
        <f ca="1">OFFSET(L!$C$1,MATCH("Declaration"&amp;ADDRESS(ROW(),COLUMN(),4),L!$A:$A,0)-1,SL,,)</f>
        <v>Zuständige Stelle im Unternehmen:</v>
      </c>
      <c r="C13" s="77"/>
      <c r="D13" s="359" t="s">
        <v>15819</v>
      </c>
      <c r="E13" s="360"/>
      <c r="F13" s="360"/>
      <c r="G13" s="360"/>
      <c r="H13" s="360"/>
      <c r="I13" s="360"/>
      <c r="J13" s="36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56" t="s">
        <v>15820</v>
      </c>
      <c r="E14" s="357"/>
      <c r="F14" s="357"/>
      <c r="G14" s="357"/>
      <c r="H14" s="357"/>
      <c r="I14" s="357"/>
      <c r="J14" s="358"/>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56" t="s">
        <v>15821</v>
      </c>
      <c r="E15" s="357"/>
      <c r="F15" s="357"/>
      <c r="G15" s="357"/>
      <c r="H15" s="357"/>
      <c r="I15" s="357"/>
      <c r="J15" s="358"/>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70" t="s">
        <v>15822</v>
      </c>
      <c r="E16" s="371"/>
      <c r="F16" s="371"/>
      <c r="G16" s="371"/>
      <c r="H16" s="371"/>
      <c r="I16" s="371"/>
      <c r="J16" s="372"/>
      <c r="K16" s="36"/>
      <c r="L16" s="115"/>
      <c r="Q16" s="3"/>
      <c r="R16" s="3"/>
      <c r="S16" s="3"/>
      <c r="T16" s="3"/>
      <c r="U16" s="3"/>
      <c r="V16" s="3"/>
      <c r="W16" s="3"/>
      <c r="X16" s="3"/>
      <c r="Y16" s="3"/>
      <c r="Z16" s="3"/>
      <c r="AA16" s="3"/>
      <c r="AB16" s="3"/>
      <c r="AC16" s="3"/>
      <c r="AD16" s="3"/>
      <c r="AE16" s="3"/>
      <c r="AF16" s="3"/>
      <c r="AG16" s="3"/>
      <c r="AH16" s="3"/>
    </row>
    <row r="17" spans="1:34" ht="15.75" customHeight="1">
      <c r="A17" s="38"/>
      <c r="B17" s="40" t="str">
        <f ca="1">OFFSET(L!$C$1,MATCH("Declaration"&amp;ADDRESS(ROW(),COLUMN(),4),L!$A:$A,0)-1,SL,,)</f>
        <v>Telefonnummer des Ansprechpartners (*):</v>
      </c>
      <c r="C17" s="77"/>
      <c r="D17" s="296" t="s">
        <v>15824</v>
      </c>
      <c r="E17" s="297" t="s">
        <v>15825</v>
      </c>
      <c r="F17" s="297"/>
      <c r="G17" s="297"/>
      <c r="H17" s="297"/>
      <c r="I17" s="297"/>
      <c r="J17" s="274"/>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88" t="s">
        <v>15826</v>
      </c>
      <c r="E18" s="389"/>
      <c r="F18" s="389"/>
      <c r="G18" s="389"/>
      <c r="H18" s="389"/>
      <c r="I18" s="389"/>
      <c r="J18" s="390"/>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59" t="s">
        <v>15827</v>
      </c>
      <c r="E19" s="360"/>
      <c r="F19" s="360"/>
      <c r="G19" s="360"/>
      <c r="H19" s="360"/>
      <c r="I19" s="360"/>
      <c r="J19" s="36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70" t="s">
        <v>15828</v>
      </c>
      <c r="E20" s="371"/>
      <c r="F20" s="371"/>
      <c r="G20" s="371"/>
      <c r="H20" s="371"/>
      <c r="I20" s="371"/>
      <c r="J20" s="372"/>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293" t="s">
        <v>15823</v>
      </c>
      <c r="E21" s="294"/>
      <c r="F21" s="294"/>
      <c r="G21" s="294"/>
      <c r="H21" s="294"/>
      <c r="I21" s="294"/>
      <c r="J21" s="29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30">
        <v>45993</v>
      </c>
      <c r="E22" s="331"/>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80"/>
      <c r="E23" s="38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2" t="str">
        <f ca="1">OFFSET(L!$C$1,MATCH("Declaration"&amp;ADDRESS(ROW(),COLUMN(),4),L!$A:$A,0)-1,SL,,)</f>
        <v>Beantworten Sie die Fragen 1 - 8 entsprechend dem oben angegebenen Geltungsbereich</v>
      </c>
      <c r="C24" s="332"/>
      <c r="D24" s="332"/>
      <c r="E24" s="332"/>
      <c r="F24" s="332"/>
      <c r="G24" s="332"/>
      <c r="H24" s="332"/>
      <c r="I24" s="332"/>
      <c r="J24" s="332"/>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9" t="str">
        <f ca="1">OFFSET(L!$C$1,MATCH("Declaration"&amp;ADDRESS(ROW(),COLUMN(),4),L!$A:$A,0)-1,SL,,)</f>
        <v>Antwort</v>
      </c>
      <c r="E25" s="339"/>
      <c r="F25" s="18"/>
      <c r="G25" s="44" t="str">
        <f ca="1">OFFSET(L!$C$1,MATCH("Declaration"&amp;ADDRESS(ROW(),COLUMN(),4),L!$A:$A,0)-1,SL,,)</f>
        <v>Kommentare</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28" t="s">
        <v>476</v>
      </c>
      <c r="E26" s="329"/>
      <c r="F26" s="12"/>
      <c r="G26" s="336"/>
      <c r="H26" s="337"/>
      <c r="I26" s="337"/>
      <c r="J26" s="338"/>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Zinn  </v>
      </c>
      <c r="C27" s="35"/>
      <c r="D27" s="328" t="s">
        <v>476</v>
      </c>
      <c r="E27" s="329"/>
      <c r="F27" s="12"/>
      <c r="G27" s="336"/>
      <c r="H27" s="337"/>
      <c r="I27" s="337"/>
      <c r="J27" s="338"/>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8" t="s">
        <v>476</v>
      </c>
      <c r="E28" s="329"/>
      <c r="F28" s="12"/>
      <c r="G28" s="336"/>
      <c r="H28" s="337"/>
      <c r="I28" s="337"/>
      <c r="J28" s="338"/>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28" t="s">
        <v>476</v>
      </c>
      <c r="E29" s="329"/>
      <c r="F29" s="12"/>
      <c r="G29" s="336"/>
      <c r="H29" s="337"/>
      <c r="I29" s="337"/>
      <c r="J29" s="338"/>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 xml:space="preserve">2) Liegen in dem/den Produkt(en) 3TG-Rückstände vor? </v>
      </c>
      <c r="C31" s="10"/>
      <c r="D31" s="333" t="str">
        <f ca="1">D25</f>
        <v>Antwort</v>
      </c>
      <c r="E31" s="333"/>
      <c r="F31" s="18"/>
      <c r="G31" s="44" t="str">
        <f ca="1">G25</f>
        <v>Kommentare</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34"/>
      <c r="E32" s="335"/>
      <c r="F32" s="47"/>
      <c r="G32" s="336"/>
      <c r="H32" s="337"/>
      <c r="I32" s="337"/>
      <c r="J32" s="338"/>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Zinn  </v>
      </c>
      <c r="C33" s="10"/>
      <c r="D33" s="328"/>
      <c r="E33" s="329"/>
      <c r="F33" s="47"/>
      <c r="G33" s="336"/>
      <c r="H33" s="337"/>
      <c r="I33" s="337"/>
      <c r="J33" s="338"/>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8"/>
      <c r="E34" s="329"/>
      <c r="F34" s="47"/>
      <c r="G34" s="336"/>
      <c r="H34" s="337"/>
      <c r="I34" s="337"/>
      <c r="J34" s="338"/>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28"/>
      <c r="E35" s="329"/>
      <c r="F35" s="47"/>
      <c r="G35" s="336"/>
      <c r="H35" s="337"/>
      <c r="I35" s="337"/>
      <c r="J35" s="338"/>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v>
      </c>
      <c r="C37" s="10"/>
      <c r="D37" s="333" t="str">
        <f ca="1">D25</f>
        <v>Antwort</v>
      </c>
      <c r="E37" s="333"/>
      <c r="F37" s="18"/>
      <c r="G37" s="44" t="str">
        <f ca="1">G25</f>
        <v>Kommentare</v>
      </c>
      <c r="H37" s="379"/>
      <c r="I37" s="379"/>
      <c r="J37" s="379"/>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28"/>
      <c r="E38" s="329"/>
      <c r="F38" s="47"/>
      <c r="G38" s="336"/>
      <c r="H38" s="337"/>
      <c r="I38" s="337"/>
      <c r="J38" s="338"/>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Zinn  </v>
      </c>
      <c r="C39" s="10"/>
      <c r="D39" s="328"/>
      <c r="E39" s="329"/>
      <c r="F39" s="47"/>
      <c r="G39" s="336"/>
      <c r="H39" s="337"/>
      <c r="I39" s="337"/>
      <c r="J39" s="338"/>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8"/>
      <c r="E40" s="329"/>
      <c r="F40" s="47"/>
      <c r="G40" s="336"/>
      <c r="H40" s="337"/>
      <c r="I40" s="337"/>
      <c r="J40" s="338"/>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28"/>
      <c r="E41" s="329"/>
      <c r="F41" s="47"/>
      <c r="G41" s="336"/>
      <c r="H41" s="337"/>
      <c r="I41" s="337"/>
      <c r="J41" s="338"/>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v>
      </c>
      <c r="C43" s="10"/>
      <c r="D43" s="333" t="str">
        <f ca="1">D25</f>
        <v>Antwort</v>
      </c>
      <c r="E43" s="333"/>
      <c r="F43" s="18"/>
      <c r="G43" s="44" t="str">
        <f ca="1">G25</f>
        <v>Kommentare</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8"/>
      <c r="E44" s="329"/>
      <c r="F44" s="47"/>
      <c r="G44" s="336"/>
      <c r="H44" s="337"/>
      <c r="I44" s="337"/>
      <c r="J44" s="338"/>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Zinn  </v>
      </c>
      <c r="C45" s="10"/>
      <c r="D45" s="328"/>
      <c r="E45" s="329"/>
      <c r="F45" s="47"/>
      <c r="G45" s="336"/>
      <c r="H45" s="337"/>
      <c r="I45" s="337"/>
      <c r="J45" s="338"/>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8"/>
      <c r="E46" s="329"/>
      <c r="F46" s="47"/>
      <c r="G46" s="336"/>
      <c r="H46" s="337"/>
      <c r="I46" s="337"/>
      <c r="J46" s="338"/>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8"/>
      <c r="E47" s="329"/>
      <c r="F47" s="47"/>
      <c r="G47" s="336"/>
      <c r="H47" s="337"/>
      <c r="I47" s="337"/>
      <c r="J47" s="338"/>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Stammt das für die Funktionalität oder  Herstellung Ihrer Produkte benötigte 3TG-Mineral zu 100 % aus Recycling- oder Schrottquellen? </v>
      </c>
      <c r="C49" s="10"/>
      <c r="D49" s="333" t="str">
        <f ca="1">D25</f>
        <v>Antwort</v>
      </c>
      <c r="E49" s="333"/>
      <c r="F49" s="18"/>
      <c r="G49" s="44" t="str">
        <f ca="1">G25</f>
        <v>Kommentare</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28"/>
      <c r="E50" s="329"/>
      <c r="F50" s="47"/>
      <c r="G50" s="336"/>
      <c r="H50" s="337"/>
      <c r="I50" s="337"/>
      <c r="J50" s="338"/>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Zinn  </v>
      </c>
      <c r="C51" s="10"/>
      <c r="D51" s="328"/>
      <c r="E51" s="329"/>
      <c r="F51" s="47"/>
      <c r="G51" s="336"/>
      <c r="H51" s="337"/>
      <c r="I51" s="337"/>
      <c r="J51" s="338"/>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8"/>
      <c r="E52" s="329"/>
      <c r="F52" s="47"/>
      <c r="G52" s="336"/>
      <c r="H52" s="337"/>
      <c r="I52" s="337"/>
      <c r="J52" s="338"/>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28"/>
      <c r="E53" s="329"/>
      <c r="F53" s="47"/>
      <c r="G53" s="336"/>
      <c r="H53" s="337"/>
      <c r="I53" s="337"/>
      <c r="J53" s="338"/>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v>
      </c>
      <c r="C55" s="10"/>
      <c r="D55" s="333" t="str">
        <f ca="1">D25</f>
        <v>Antwort</v>
      </c>
      <c r="E55" s="333"/>
      <c r="F55" s="18"/>
      <c r="G55" s="44" t="str">
        <f ca="1">G25</f>
        <v>Kommentare</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73"/>
      <c r="E56" s="374"/>
      <c r="F56" s="47"/>
      <c r="G56" s="336"/>
      <c r="H56" s="337"/>
      <c r="I56" s="337"/>
      <c r="J56" s="338"/>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Zinn  </v>
      </c>
      <c r="C57" s="35"/>
      <c r="D57" s="373"/>
      <c r="E57" s="374"/>
      <c r="F57" s="47"/>
      <c r="G57" s="336"/>
      <c r="H57" s="337"/>
      <c r="I57" s="337"/>
      <c r="J57" s="338"/>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73"/>
      <c r="E58" s="374"/>
      <c r="F58" s="47"/>
      <c r="G58" s="336"/>
      <c r="H58" s="337"/>
      <c r="I58" s="337"/>
      <c r="J58" s="338"/>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73"/>
      <c r="E59" s="374"/>
      <c r="F59" s="47"/>
      <c r="G59" s="336"/>
      <c r="H59" s="337"/>
      <c r="I59" s="337"/>
      <c r="J59" s="338"/>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Haben Sie alle Schmelzhütten ermittelt, die das 3TG-Mineral für Ihre Lieferkette bereitstellen? </v>
      </c>
      <c r="C61" s="10"/>
      <c r="D61" s="333" t="str">
        <f ca="1">D25</f>
        <v>Antwort</v>
      </c>
      <c r="E61" s="333"/>
      <c r="F61" s="18"/>
      <c r="G61" s="44" t="str">
        <f ca="1">G25</f>
        <v>Kommentare</v>
      </c>
      <c r="H61" s="378"/>
      <c r="I61" s="378"/>
      <c r="J61" s="378"/>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34"/>
      <c r="E62" s="335"/>
      <c r="F62" s="47"/>
      <c r="G62" s="336"/>
      <c r="H62" s="337"/>
      <c r="I62" s="337"/>
      <c r="J62" s="338"/>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Zinn  </v>
      </c>
      <c r="C63" s="10"/>
      <c r="D63" s="328"/>
      <c r="E63" s="329"/>
      <c r="F63" s="47"/>
      <c r="G63" s="336"/>
      <c r="H63" s="337"/>
      <c r="I63" s="337"/>
      <c r="J63" s="338"/>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8"/>
      <c r="E64" s="329"/>
      <c r="F64" s="47"/>
      <c r="G64" s="336"/>
      <c r="H64" s="337"/>
      <c r="I64" s="337"/>
      <c r="J64" s="338"/>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28"/>
      <c r="E65" s="329"/>
      <c r="F65" s="47"/>
      <c r="G65" s="336"/>
      <c r="H65" s="337"/>
      <c r="I65" s="337"/>
      <c r="J65" s="338"/>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Haben Sie alle relevanten Informationen, die Ihr Unternehmen zu den Schmelzhütten erhalten hat, in dieser Erklärung aufgeführt? </v>
      </c>
      <c r="C67" s="10"/>
      <c r="D67" s="333" t="str">
        <f ca="1">D25</f>
        <v>Antwort</v>
      </c>
      <c r="E67" s="333"/>
      <c r="F67" s="18"/>
      <c r="G67" s="44" t="str">
        <f ca="1">G25</f>
        <v>Kommentare</v>
      </c>
      <c r="H67" s="378" t="str">
        <f>IF(Q75="(*)","Click here to enter smelter names","")</f>
        <v/>
      </c>
      <c r="I67" s="378"/>
      <c r="J67" s="378"/>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28"/>
      <c r="E68" s="329"/>
      <c r="F68" s="48"/>
      <c r="G68" s="336"/>
      <c r="H68" s="337"/>
      <c r="I68" s="337"/>
      <c r="J68" s="338"/>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Zinn  </v>
      </c>
      <c r="C69" s="35"/>
      <c r="D69" s="328"/>
      <c r="E69" s="329"/>
      <c r="F69" s="48"/>
      <c r="G69" s="336"/>
      <c r="H69" s="337"/>
      <c r="I69" s="337"/>
      <c r="J69" s="338"/>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8"/>
      <c r="E70" s="329"/>
      <c r="F70" s="48"/>
      <c r="G70" s="336"/>
      <c r="H70" s="337"/>
      <c r="I70" s="337"/>
      <c r="J70" s="338"/>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28"/>
      <c r="E71" s="329"/>
      <c r="F71" s="50"/>
      <c r="G71" s="336"/>
      <c r="H71" s="337"/>
      <c r="I71" s="337"/>
      <c r="J71" s="338"/>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91" t="str">
        <f ca="1">OFFSET(L!$C$1,MATCH("Declaration"&amp;ADDRESS(ROW(),COLUMN(),4),L!$A:$A,0)-1,SL,,)</f>
        <v>Beantworten Sie folgende Fragen auf Firmenebene</v>
      </c>
      <c r="C73" s="391"/>
      <c r="D73" s="391"/>
      <c r="E73" s="391"/>
      <c r="F73" s="391"/>
      <c r="G73" s="391"/>
      <c r="H73" s="391"/>
      <c r="I73" s="391"/>
      <c r="J73" s="39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9" t="str">
        <f ca="1">D25</f>
        <v>Antwort</v>
      </c>
      <c r="E74" s="339"/>
      <c r="F74" s="53"/>
      <c r="G74" s="339" t="str">
        <f ca="1">G25</f>
        <v>Kommentare</v>
      </c>
      <c r="H74" s="339" t="e">
        <f>HLOOKUP(SL,LT,$O74,0)</f>
        <v>#NAME?</v>
      </c>
      <c r="I74" s="33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v>
      </c>
      <c r="C75" s="57"/>
      <c r="D75" s="328" t="s">
        <v>476</v>
      </c>
      <c r="E75" s="329"/>
      <c r="F75" s="57"/>
      <c r="G75" s="336"/>
      <c r="H75" s="337"/>
      <c r="I75" s="337"/>
      <c r="J75" s="338"/>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6"/>
      <c r="H76" s="386"/>
      <c r="I76" s="386"/>
      <c r="J76" s="386"/>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v>
      </c>
      <c r="C77" s="57"/>
      <c r="D77" s="328" t="s">
        <v>476</v>
      </c>
      <c r="E77" s="329"/>
      <c r="F77" s="57"/>
      <c r="G77" s="340"/>
      <c r="H77" s="341"/>
      <c r="I77" s="341"/>
      <c r="J77" s="342"/>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v>
      </c>
      <c r="C79" s="57"/>
      <c r="D79" s="328" t="s">
        <v>476</v>
      </c>
      <c r="E79" s="329"/>
      <c r="F79" s="57"/>
      <c r="G79" s="336"/>
      <c r="H79" s="337"/>
      <c r="I79" s="337"/>
      <c r="J79" s="338"/>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v>
      </c>
      <c r="C81" s="57"/>
      <c r="D81" s="328" t="s">
        <v>476</v>
      </c>
      <c r="E81" s="329"/>
      <c r="F81" s="57"/>
      <c r="G81" s="336"/>
      <c r="H81" s="337"/>
      <c r="I81" s="337"/>
      <c r="J81" s="338"/>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v>
      </c>
      <c r="C83" s="57"/>
      <c r="D83" s="328" t="s">
        <v>476</v>
      </c>
      <c r="E83" s="329"/>
      <c r="F83" s="57"/>
      <c r="G83" s="336"/>
      <c r="H83" s="337"/>
      <c r="I83" s="337"/>
      <c r="J83" s="338"/>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v>
      </c>
      <c r="C85" s="57"/>
      <c r="D85" s="384" t="s">
        <v>476</v>
      </c>
      <c r="E85" s="385"/>
      <c r="F85" s="57"/>
      <c r="G85" s="336"/>
      <c r="H85" s="337"/>
      <c r="I85" s="337"/>
      <c r="J85" s="338"/>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6"/>
      <c r="H86" s="386"/>
      <c r="I86" s="386"/>
      <c r="J86" s="386"/>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v>
      </c>
      <c r="C87" s="57"/>
      <c r="D87" s="328" t="s">
        <v>475</v>
      </c>
      <c r="E87" s="329"/>
      <c r="F87" s="57"/>
      <c r="G87" s="336"/>
      <c r="H87" s="337"/>
      <c r="I87" s="337"/>
      <c r="J87" s="338"/>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7"/>
      <c r="H88" s="387"/>
      <c r="I88" s="387"/>
      <c r="J88" s="387"/>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Ist Ihr Unternehmen zu einer jährlichen Offenlegung der Konfliktmineralien verpflichtet?</v>
      </c>
      <c r="C89" s="57"/>
      <c r="D89" s="328" t="s">
        <v>476</v>
      </c>
      <c r="E89" s="329"/>
      <c r="F89" s="57"/>
      <c r="G89" s="336"/>
      <c r="H89" s="337"/>
      <c r="I89" s="337"/>
      <c r="J89" s="338"/>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83" t="str">
        <f>IF(OR($D$8="",$I$3=""),"","Click here to check required fields completion")</f>
        <v/>
      </c>
      <c r="C90" s="383"/>
      <c r="D90" s="383"/>
      <c r="E90" s="383"/>
      <c r="F90" s="383"/>
      <c r="G90" s="383"/>
      <c r="H90" s="383"/>
      <c r="I90" s="383"/>
      <c r="J90" s="383"/>
      <c r="K90" s="36"/>
      <c r="L90" s="100"/>
      <c r="P90" s="3"/>
      <c r="Q90" s="3"/>
      <c r="R90" s="3"/>
      <c r="S90" s="3"/>
      <c r="T90" s="3"/>
      <c r="U90" s="3"/>
      <c r="V90" s="3"/>
      <c r="W90" s="3"/>
      <c r="X90" s="3"/>
      <c r="Y90" s="3"/>
      <c r="Z90" s="3"/>
      <c r="AA90" s="3"/>
      <c r="AB90" s="3"/>
      <c r="AC90" s="3"/>
      <c r="AD90" s="3"/>
      <c r="AE90" s="3"/>
      <c r="AF90" s="3"/>
      <c r="AG90" s="3"/>
      <c r="AH90" s="3"/>
    </row>
    <row r="91" spans="1:34" ht="15.75" thickBot="1">
      <c r="A91" s="381" t="str">
        <f ca="1">OFFSET(L!$C$1,MATCH("General"&amp;"Cpy",L!$A:$A,0)-1,SL,,)</f>
        <v>© 2025 Responsible Minerals Initiative. All rights reserved.</v>
      </c>
      <c r="B91" s="382"/>
      <c r="C91" s="382"/>
      <c r="D91" s="382"/>
      <c r="E91" s="382"/>
      <c r="F91" s="382"/>
      <c r="G91" s="382"/>
      <c r="H91" s="382"/>
      <c r="I91" s="382"/>
      <c r="J91" s="382"/>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2432</v>
      </c>
      <c r="D100" s="282" t="str">
        <f>IF(AND(OR($D$27="Yes",$D$27=""),OR($D$33="Yes",$D$33="")),"No","")</f>
        <v/>
      </c>
      <c r="E100" s="282" t="str">
        <f>IF(AND(OR($D$26="Yes",$D$26=""),OR($D$32="Yes",$D$32="")),"50% or less","")</f>
        <v/>
      </c>
      <c r="G100" s="282" t="str">
        <f>IF(OR($D$28="Yes",$D$28=""),"Yes","")</f>
        <v/>
      </c>
    </row>
    <row r="101" spans="2:7" ht="15.75" hidden="1">
      <c r="B101" s="236" t="s">
        <v>2433</v>
      </c>
      <c r="D101" s="282" t="str">
        <f>IF(AND(OR($D$27="Yes",$D$27=""),OR($D$33="Yes",$D$33="")),"Unknown","")</f>
        <v/>
      </c>
      <c r="E101" s="282" t="str">
        <f>IF(AND(OR($D$26="Yes",$D$26=""),OR($D$32="Yes",$D$32="")),"None","")</f>
        <v/>
      </c>
      <c r="G101" s="282" t="str">
        <f>IF(OR($D$28="Yes",$D$28=""),"No","")</f>
        <v/>
      </c>
    </row>
    <row r="102" spans="2:7" ht="15.75" hidden="1">
      <c r="B102" s="236" t="s">
        <v>2434</v>
      </c>
      <c r="D102" s="282" t="str">
        <f>IF(AND(OR($D$28="Yes",$D$28=""),OR($D$34="Yes",$D$34="")),"Yes","")</f>
        <v/>
      </c>
      <c r="E102" s="282" t="str">
        <f>IF(AND(OR($D$27="Yes",$D$27=""),OR($D$33="Yes",$D$33="")),"100%","")</f>
        <v/>
      </c>
      <c r="G102" s="282" t="str">
        <f>IF(OR($D$29="Yes",$D$29=""),"Yes","")</f>
        <v/>
      </c>
    </row>
    <row r="103" spans="2:7" ht="15.75" hidden="1">
      <c r="B103" s="236" t="s">
        <v>2435</v>
      </c>
      <c r="D103" s="282" t="str">
        <f>IF(AND(OR($D$28="Yes",$D$28=""),OR($D$34="Yes",$D$34="")),"No","")</f>
        <v/>
      </c>
      <c r="E103" s="282" t="str">
        <f>IF(AND(OR($D$27="Yes",$D$27=""),OR($D$33="Yes",$D$33="")),"Greater than 90%","")</f>
        <v/>
      </c>
      <c r="G103" s="282" t="str">
        <f>IF(OR($D$29="Yes",$D$29=""),"No","")</f>
        <v/>
      </c>
    </row>
    <row r="104" spans="2:7" ht="15.75" hidden="1">
      <c r="B104" s="236" t="s">
        <v>478</v>
      </c>
      <c r="D104" s="282" t="str">
        <f>IF(AND(OR($D$28="Yes",$D$28=""),OR($D$34="Yes",$D$34="")),"Unknown","")</f>
        <v/>
      </c>
      <c r="E104" s="282" t="str">
        <f>IF(AND(OR($D$27="Yes",$D$27=""),OR($D$33="Yes",$D$33="")),"Greater than 75%","")</f>
        <v/>
      </c>
    </row>
    <row r="105" spans="2:7" ht="15.75" hidden="1">
      <c r="B105" s="236" t="s">
        <v>14853</v>
      </c>
      <c r="D105" s="282" t="str">
        <f>IF(AND(OR($D$29="Yes",$D$29=""),OR($D$35="Yes",$D$35="")),"Yes","")</f>
        <v/>
      </c>
      <c r="E105" s="282" t="str">
        <f>IF(AND(OR($D$27="Yes",$D$27=""),OR($D$33="Yes",$D$33="")),"Greater than 50%","")</f>
        <v/>
      </c>
    </row>
    <row r="106" spans="2:7" ht="15.75" hidden="1">
      <c r="B106" s="236" t="s">
        <v>12341</v>
      </c>
      <c r="D106" s="282" t="str">
        <f>IF(AND(OR($D$29="Yes",$D$29=""),OR($D$35="Yes",$D$35="")),"No","")</f>
        <v/>
      </c>
      <c r="E106" s="282" t="str">
        <f>IF(AND(OR($D$27="Yes",$D$27=""),OR($D$33="Yes",$D$33="")),"50% or less","")</f>
        <v/>
      </c>
    </row>
    <row r="107" spans="2:7" ht="15.75" hidden="1">
      <c r="B107" s="236" t="s">
        <v>476</v>
      </c>
      <c r="D107" s="282" t="str">
        <f>IF(AND(OR($D$29="Yes",$D$29=""),OR($D$35="Yes",$D$35="")),"Unknown","")</f>
        <v/>
      </c>
      <c r="E107" s="282" t="str">
        <f>IF(AND(OR($D$27="Yes",$D$27=""),OR($D$33="Yes",$D$33="")),"None","")</f>
        <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2">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D40:E40"/>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7">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display="mailto:qs@deinzermetall.de" xr:uid="{63BE4AFE-4873-4937-A643-B61EDCAAEEBF}"/>
    <hyperlink ref="D20" r:id="rId4" display="mailto:r.sulzer@deinzermetall.de" xr:uid="{115EB2CF-F9D3-440B-B7ED-ED4D175FD7F6}"/>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UM ZU BEGINNEN:</v>
      </c>
      <c r="C2" s="172"/>
      <c r="D2" s="172"/>
      <c r="E2" s="172"/>
      <c r="F2" s="193"/>
      <c r="G2" s="193"/>
      <c r="H2" s="193"/>
      <c r="I2" s="194"/>
      <c r="J2" s="392" t="str">
        <f ca="1">OFFSET(L!$C$1,MATCH("Smelter List"&amp;ADDRESS(ROW(),COLUMN(),4),L!$A:$A,0)-1,SL,,)</f>
        <v>Link zur "RMAP Conformant Smelter"- Liste</v>
      </c>
      <c r="K2" s="393"/>
      <c r="L2" s="393"/>
      <c r="M2" s="393"/>
      <c r="N2" s="393"/>
      <c r="O2" s="393"/>
      <c r="P2" s="195"/>
      <c r="Q2" s="196"/>
      <c r="R2" s="197"/>
      <c r="S2" s="197"/>
      <c r="T2" s="197"/>
      <c r="AH2" s="145" t="s">
        <v>475</v>
      </c>
    </row>
    <row r="3" spans="1:34" s="221" customFormat="1" ht="177" customHeight="1">
      <c r="A3" s="171"/>
      <c r="B3" s="394"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94"/>
      <c r="D3" s="394"/>
      <c r="E3" s="394"/>
      <c r="F3" s="222"/>
      <c r="G3" s="395" t="str">
        <f ca="1">OFFSET(L!$C$1,MATCH("General"&amp;"Cpy",L!$A:$A,0)-1,SL,,)</f>
        <v>© 2025 Responsible Minerals Initiative. All rights reserved.</v>
      </c>
      <c r="H3" s="395"/>
      <c r="I3" s="396"/>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12367</v>
      </c>
      <c r="S4" s="216" t="s">
        <v>12350</v>
      </c>
      <c r="T4" s="216" t="s">
        <v>12351</v>
      </c>
      <c r="U4" s="200"/>
      <c r="W4" s="159" t="s">
        <v>1290</v>
      </c>
      <c r="X4" s="159" t="s">
        <v>912</v>
      </c>
      <c r="AH4" s="145" t="s">
        <v>477</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407A3B1-8975-4530-9162-26AF529FC1B7}"/>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7"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7" t="str">
        <f ca="1">OFFSET(L!$C$1,MATCH("Checker"&amp;ADDRESS(ROW(),COLUMN(),4),L!$A:$A,0)-1,SL,,)</f>
        <v>Um sicherzustellen, dass alle erforderlichen Felder vor dem Versand an ihren Kunden ausgefüllt sind, alle rot markierten Felder beachten.</v>
      </c>
      <c r="B1" s="397"/>
      <c r="C1" s="397"/>
      <c r="D1" s="119" t="str">
        <f ca="1">OFFSET(L!$C$1,MATCH("Checker"&amp;ADDRESS(ROW(),COLUMN(),4),L!$A:$A,0)-1,SL,,)</f>
        <v>Erforderliche Felder bitte vervollständigen.</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512</v>
      </c>
      <c r="G3" s="19" t="s">
        <v>511</v>
      </c>
      <c r="H3" s="19" t="s">
        <v>513</v>
      </c>
      <c r="I3" s="19" t="s">
        <v>1283</v>
      </c>
      <c r="J3" s="19" t="s">
        <v>1284</v>
      </c>
    </row>
    <row r="4" spans="1:10" ht="39">
      <c r="A4" s="90" t="str">
        <f ca="1">Declaration!B8</f>
        <v>Firmenname (*):</v>
      </c>
      <c r="B4" s="89" t="str">
        <f>Declaration!D8</f>
        <v>Deinzermetall GmbH</v>
      </c>
      <c r="C4" s="89" t="str">
        <f t="shared" ref="C4" ca="1" si="0">IF(H4=1,J4,I4)</f>
        <v>Vollständig</v>
      </c>
      <c r="D4" s="95" t="str">
        <f>IF(H4=1,"Click here to enter Company Name","")</f>
        <v/>
      </c>
      <c r="E4" s="20" t="s">
        <v>1273</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1273</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t="str">
        <f>Declaration!D10</f>
        <v>Fertigung und Verkauf von Produkten im Bereich Blechbearbeitung wie CNC-Stanz- und Lasertechnologie, Rohrschneiden, Laserschweißen</v>
      </c>
      <c r="C6" s="89" t="str">
        <f ca="1">IF(H6=1,J6,I6)</f>
        <v>Vollständig</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 xml:space="preserve">Andreas Kleindienst / Jürgen Pfund </v>
      </c>
      <c r="C7" s="89" t="str">
        <f ca="1">IF(H7=1,J7,I7)</f>
        <v>Vollständig</v>
      </c>
      <c r="D7" s="95" t="str">
        <f>IF(H7=1,"Click here to enter Contact Name","")</f>
        <v/>
      </c>
      <c r="E7" s="20" t="s">
        <v>1273</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qs@deinzermetall.de</v>
      </c>
      <c r="C8" s="89" t="str">
        <f ca="1">IF(H8=1,J8,I8)</f>
        <v>Vollständig</v>
      </c>
      <c r="D8" s="95" t="str">
        <f>IF(H8=1,"Click here to enter Email-Contact","")</f>
        <v/>
      </c>
      <c r="E8" s="20" t="s">
        <v>1273</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+4991292815526</v>
      </c>
      <c r="C9" s="89" t="str">
        <f ca="1">IF(H9=1,J9,I9)</f>
        <v>Vollständig</v>
      </c>
      <c r="D9" s="95" t="str">
        <f>IF(H9=1,"Click here to enter Phone-Contact","")</f>
        <v/>
      </c>
      <c r="E9" s="20" t="s">
        <v>1273</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Ralf Sulzer</v>
      </c>
      <c r="C10" s="89" t="str">
        <f t="shared" ref="C10" ca="1" si="4">IF(H10=1,J10,I10)</f>
        <v>Vollständig</v>
      </c>
      <c r="D10" s="95" t="str">
        <f>IF(H10=1,"Click here to enter an Authorized Company Representative's name","")</f>
        <v/>
      </c>
      <c r="E10" s="20" t="s">
        <v>1273</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r.sulzer@deinzermetall.de</v>
      </c>
      <c r="C11" s="89" t="str">
        <f ca="1">IF(H11=1,J11,I11)</f>
        <v>Vollständig</v>
      </c>
      <c r="D11" s="95" t="str">
        <f>IF(H11=1,"Click here to enter Representative's email","")</f>
        <v/>
      </c>
      <c r="E11" s="20" t="s">
        <v>1273</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45993</v>
      </c>
      <c r="C12" s="89" t="str">
        <f ca="1">IF(H12=1,J12,I12)</f>
        <v>Vollständig</v>
      </c>
      <c r="D12" s="95" t="str">
        <f>IF(H12=1,"Click here to enter Date of Completion","")</f>
        <v/>
      </c>
      <c r="E12" s="20" t="s">
        <v>1273</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783</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779</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 xml:space="preserve">Zinn  </v>
      </c>
      <c r="B15" s="89" t="str">
        <f>Declaration!D27</f>
        <v>No</v>
      </c>
      <c r="C15" s="89" t="str">
        <f ca="1">IF(H15=1,J15,I15)</f>
        <v>Vollständig</v>
      </c>
      <c r="D15" s="95" t="str">
        <f>IF(H15=1,"Click here to answer question 1 for Tin","")</f>
        <v/>
      </c>
      <c r="E15" s="20" t="s">
        <v>780</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 xml:space="preserve">Gold  </v>
      </c>
      <c r="B16" s="89" t="str">
        <f>Declaration!D28</f>
        <v>No</v>
      </c>
      <c r="C16" s="89" t="str">
        <f ca="1">IF(H16=1,J16,I16)</f>
        <v>Vollständig</v>
      </c>
      <c r="D16" s="95" t="str">
        <f>IF(H16=1,"Click here to answer question 1 for Gold","")</f>
        <v/>
      </c>
      <c r="E16" s="20" t="s">
        <v>780</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780</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 xml:space="preserve">2) Liegen in dem/den Produkt(en) 3TG-Rückstände vor? </v>
      </c>
      <c r="B18" s="92"/>
      <c r="C18" s="92"/>
      <c r="D18" s="96"/>
      <c r="E18" s="20" t="s">
        <v>781</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780</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 xml:space="preserve">Zinn  </v>
      </c>
      <c r="B20" s="89">
        <f>IF($B$15="Yes",Declaration!D33,0)</f>
        <v>0</v>
      </c>
      <c r="C20" s="89" t="str">
        <f ca="1">IF(H20=1,J20,I20)</f>
        <v>Vollständig</v>
      </c>
      <c r="D20" s="97" t="str">
        <f>IF(H20=1,"Click here to answer question 2 for Tin","")</f>
        <v/>
      </c>
      <c r="E20" s="20" t="s">
        <v>780</v>
      </c>
      <c r="F20" s="94">
        <f>IF(B$15="No",0,1)</f>
        <v>0</v>
      </c>
      <c r="G20" s="70">
        <f>IF(B20=0,1,0)</f>
        <v>1</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 xml:space="preserve">Gold  </v>
      </c>
      <c r="B21" s="89">
        <f>IF($B$16="Yes",Declaration!D34,0)</f>
        <v>0</v>
      </c>
      <c r="C21" s="89" t="str">
        <f ca="1">IF(H21=1,J21,I21)</f>
        <v>Vollständig</v>
      </c>
      <c r="D21" s="97" t="str">
        <f>IF(H21=1,"Click here to answer question 2 for Gold","")</f>
        <v/>
      </c>
      <c r="E21" s="20" t="s">
        <v>780</v>
      </c>
      <c r="F21" s="94">
        <f>IF(B$16="No",0,1)</f>
        <v>0</v>
      </c>
      <c r="G21" s="70">
        <f>IF(B21=0,1,0)</f>
        <v>1</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780</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v>
      </c>
      <c r="B23" s="92"/>
      <c r="C23" s="92"/>
      <c r="D23" s="96"/>
      <c r="E23" s="20" t="s">
        <v>780</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 xml:space="preserve">Zinn  </v>
      </c>
      <c r="B25" s="89">
        <f>IF(AND($B$15="Yes",$B$20="Yes"),Declaration!D39,0)</f>
        <v>0</v>
      </c>
      <c r="C25" s="89" t="str">
        <f ca="1">IF(H25=1,J25,I25)</f>
        <v>Vollständig</v>
      </c>
      <c r="D25" s="97" t="str">
        <f>IF(H25=1,"Click here to answer question 3 for Tin","")</f>
        <v/>
      </c>
      <c r="E25" s="20" t="s">
        <v>780</v>
      </c>
      <c r="F25" s="94">
        <f>IF(OR(B15="No",B20="No"),0,1)</f>
        <v>0</v>
      </c>
      <c r="G25" s="70">
        <f>IF(B25=0,1,0)</f>
        <v>1</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 xml:space="preserve">Gold  </v>
      </c>
      <c r="B26" s="89">
        <f>IF(AND($B$16="Yes",$B$21="Yes"),Declaration!D40,0)</f>
        <v>0</v>
      </c>
      <c r="C26" s="89" t="str">
        <f ca="1">IF(H26=1,J26,I26)</f>
        <v>Vollständig</v>
      </c>
      <c r="D26" s="97" t="str">
        <f>IF(H26=1,"Click here to answer question 3 for Gold","")</f>
        <v/>
      </c>
      <c r="E26" s="20" t="s">
        <v>780</v>
      </c>
      <c r="F26" s="94">
        <f>IF(OR(B16="No",B21="No"),0,1)</f>
        <v>0</v>
      </c>
      <c r="G26" s="70">
        <f>IF(B26=0,1,0)</f>
        <v>1</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780</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 xml:space="preserve">Zinn  </v>
      </c>
      <c r="B30" s="89">
        <f>IF(AND($B$15="Yes",$B$20="Yes"),Declaration!D45,0)</f>
        <v>0</v>
      </c>
      <c r="C30" s="89" t="str">
        <f ca="1">IF(H30=1,J30,I30)</f>
        <v>Vollständig</v>
      </c>
      <c r="D30" s="260" t="str">
        <f>IF(H30=1,"Click here to answer question 4 for Tin","")</f>
        <v/>
      </c>
      <c r="E30" s="20"/>
      <c r="F30" s="94">
        <f>F25</f>
        <v>0</v>
      </c>
      <c r="G30" s="70">
        <f>IF(B30=0,1,0)</f>
        <v>1</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 xml:space="preserve">Gold  </v>
      </c>
      <c r="B31" s="89">
        <f>IF(AND($B$16="Yes",$B$21="Yes"),Declaration!D46,0)</f>
        <v>0</v>
      </c>
      <c r="C31" s="89" t="str">
        <f ca="1">IF(H31=1,J31,I31)</f>
        <v>Vollständig</v>
      </c>
      <c r="D31" s="260" t="str">
        <f>IF(H31=1,"Click here to answer question 4 for Gold","")</f>
        <v/>
      </c>
      <c r="E31" s="20"/>
      <c r="F31" s="94">
        <f>F26</f>
        <v>0</v>
      </c>
      <c r="G31" s="70">
        <f>IF(B31=0,1,0)</f>
        <v>1</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 xml:space="preserve">5) Stammt das für die Funktionalität oder  Herstellung Ihrer Produkte benötigte 3TG-Mineral zu 100 % aus Recycling- oder Schrottquellen? </v>
      </c>
      <c r="B33" s="92"/>
      <c r="C33" s="92"/>
      <c r="D33" s="96"/>
      <c r="E33" s="20" t="s">
        <v>1273</v>
      </c>
      <c r="F33" s="93"/>
      <c r="J33" s="148"/>
    </row>
    <row r="34" spans="1:10" ht="39">
      <c r="A34" s="90" t="str">
        <f ca="1">Declaration!B50</f>
        <v xml:space="preserve">Tantal  </v>
      </c>
      <c r="B34" s="89">
        <f>IF(AND($B$14="Yes",$B$19="Yes"),Declaration!D50,0)</f>
        <v>0</v>
      </c>
      <c r="C34" s="89" t="str">
        <f ca="1">IF(H34=1,J34,I34)</f>
        <v>Vollständig</v>
      </c>
      <c r="D34" s="260" t="str">
        <f>IF(H34=1,"Click here to answer question 5 for Tantalum","")</f>
        <v/>
      </c>
      <c r="E34" s="20" t="s">
        <v>1273</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 xml:space="preserve">Zinn  </v>
      </c>
      <c r="B35" s="89">
        <f>IF(AND($B$15="Yes",$B$20="Yes"),Declaration!D51,0)</f>
        <v>0</v>
      </c>
      <c r="C35" s="89" t="str">
        <f ca="1">IF(H35=1,J35,I35)</f>
        <v>Vollständig</v>
      </c>
      <c r="D35" s="260" t="str">
        <f>IF(H35=1,"Click here to answer question 5 for Tin","")</f>
        <v/>
      </c>
      <c r="E35" s="20" t="s">
        <v>1273</v>
      </c>
      <c r="F35" s="94">
        <f>F25</f>
        <v>0</v>
      </c>
      <c r="G35" s="70">
        <f>IF(B35=0,1,0)</f>
        <v>1</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 xml:space="preserve">Gold  </v>
      </c>
      <c r="B36" s="89">
        <f>IF(AND($B$16="Yes",$B$21="Yes"),Declaration!D52,0)</f>
        <v>0</v>
      </c>
      <c r="C36" s="89" t="str">
        <f ca="1">IF(H36=1,J36,I36)</f>
        <v>Vollständig</v>
      </c>
      <c r="D36" s="260" t="str">
        <f>IF(H36=1,"Click here to answer question 5 for Gold","")</f>
        <v/>
      </c>
      <c r="E36" s="20" t="s">
        <v>1273</v>
      </c>
      <c r="F36" s="94">
        <f>F26</f>
        <v>0</v>
      </c>
      <c r="G36" s="70">
        <f>IF(B36=0,1,0)</f>
        <v>1</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 xml:space="preserve">Wolfram  </v>
      </c>
      <c r="B37" s="89">
        <f>IF(AND($B$17="Yes",$B$22="Yes"),Declaration!D53,0)</f>
        <v>0</v>
      </c>
      <c r="C37" s="89" t="str">
        <f ca="1">IF(H37=1,J37,I37)</f>
        <v>Vollständig</v>
      </c>
      <c r="D37" s="260" t="str">
        <f>IF(H37=1,"Click here to answer question 5 for Tungsten","")</f>
        <v/>
      </c>
      <c r="E37" s="20" t="s">
        <v>1273</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v>
      </c>
      <c r="B38" s="92"/>
      <c r="C38" s="92"/>
      <c r="D38" s="96"/>
      <c r="E38" s="20" t="s">
        <v>780</v>
      </c>
      <c r="F38" s="93"/>
    </row>
    <row r="39" spans="1:10" ht="26.25">
      <c r="A39" s="90" t="str">
        <f ca="1">Declaration!B56</f>
        <v xml:space="preserve">Tantal  </v>
      </c>
      <c r="B39" s="268">
        <f>IF(AND($B$14="Yes",$B$19="Yes"),Declaration!D56,0)</f>
        <v>0</v>
      </c>
      <c r="C39" s="89" t="str">
        <f ca="1">IF(H39=1,J39,I39)</f>
        <v>Vollständig</v>
      </c>
      <c r="D39" s="261" t="str">
        <f>IF(H39=1,"Click here to answer question 6 for Tantalum","")</f>
        <v/>
      </c>
      <c r="E39" s="20" t="s">
        <v>779</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 xml:space="preserve">Zinn  </v>
      </c>
      <c r="B40" s="268">
        <f>IF(AND($B$15="Yes",$B$20="Yes"),Declaration!D57,0)</f>
        <v>0</v>
      </c>
      <c r="C40" s="89" t="str">
        <f ca="1">IF(H40=1,J40,I40)</f>
        <v>Vollständig</v>
      </c>
      <c r="D40" s="261" t="str">
        <f>IF(H40=1,"Click here to answer question 6 for Tin","")</f>
        <v/>
      </c>
      <c r="E40" s="20" t="s">
        <v>779</v>
      </c>
      <c r="F40" s="94">
        <f>F25</f>
        <v>0</v>
      </c>
      <c r="G40" s="70">
        <f>IF(B40=0,1,0)</f>
        <v>1</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 xml:space="preserve">Gold  </v>
      </c>
      <c r="B41" s="268">
        <f>IF(AND($B$16="Yes",$B$21="Yes"),Declaration!D58,0)</f>
        <v>0</v>
      </c>
      <c r="C41" s="89" t="str">
        <f ca="1">IF(H41=1,J41,I41)</f>
        <v>Vollständig</v>
      </c>
      <c r="D41" s="261" t="str">
        <f>IF(H41=1,"Click here to answer question 6 for Gold","")</f>
        <v/>
      </c>
      <c r="E41" s="20" t="s">
        <v>779</v>
      </c>
      <c r="F41" s="94">
        <f>F26</f>
        <v>0</v>
      </c>
      <c r="G41" s="70">
        <f>IF(B41=0,1,0)</f>
        <v>1</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8">
        <f>IF(AND($B$17="Yes",$B$22="Yes"),Declaration!D59,0)</f>
        <v>0</v>
      </c>
      <c r="C42" s="89" t="str">
        <f ca="1">IF(H42=1,J42,I42)</f>
        <v>Vollständig</v>
      </c>
      <c r="D42" s="261" t="str">
        <f>IF(H42=1,"Click here to answer question 6 for Tungsten","")</f>
        <v/>
      </c>
      <c r="E42" s="20" t="s">
        <v>779</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 xml:space="preserve">7) Haben Sie alle Schmelzhütten ermittelt, die das 3TG-Mineral für Ihre Lieferkette bereitstellen? </v>
      </c>
      <c r="B43" s="92"/>
      <c r="C43" s="92"/>
      <c r="D43" s="96"/>
      <c r="E43" s="20" t="s">
        <v>781</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1269</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 xml:space="preserve">Zinn  </v>
      </c>
      <c r="B45" s="89">
        <f>IF(AND($B$15="Yes",$B$20="Yes"),Declaration!D63,0)</f>
        <v>0</v>
      </c>
      <c r="C45" s="89" t="str">
        <f ca="1">IF(H45=1,J45,I45)</f>
        <v>Vollständig</v>
      </c>
      <c r="D45" s="260" t="str">
        <f>IF(H45=1,"Click here to answer question 7 for Tin","")</f>
        <v/>
      </c>
      <c r="E45" s="20" t="s">
        <v>1269</v>
      </c>
      <c r="F45" s="94">
        <f>F25</f>
        <v>0</v>
      </c>
      <c r="G45" s="70">
        <f>IF(B45=0,1,0)</f>
        <v>1</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 xml:space="preserve">Gold  </v>
      </c>
      <c r="B46" s="89">
        <f>IF(AND($B$16="Yes",$B$21="Yes"),Declaration!D64,0)</f>
        <v>0</v>
      </c>
      <c r="C46" s="89" t="str">
        <f ca="1">IF(H46=1,J46,I46)</f>
        <v>Vollständig</v>
      </c>
      <c r="D46" s="260" t="str">
        <f>IF(H46=1,"Click here to answer question 7 for Gold","")</f>
        <v/>
      </c>
      <c r="E46" s="20" t="s">
        <v>1269</v>
      </c>
      <c r="F46" s="94">
        <f>F26</f>
        <v>0</v>
      </c>
      <c r="G46" s="70">
        <f>IF(B46=0,1,0)</f>
        <v>1</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1269</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 xml:space="preserve">8) Haben Sie alle relevanten Informationen, die Ihr Unternehmen zu den Schmelzhütten erhalten hat, in dieser Erklärung aufgeführt? </v>
      </c>
      <c r="B48" s="92"/>
      <c r="C48" s="92"/>
      <c r="D48" s="96"/>
      <c r="E48" s="20" t="s">
        <v>782</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780</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 xml:space="preserve">Zinn  </v>
      </c>
      <c r="B50" s="89">
        <f>IF(AND($B$15="Yes",$B$20="Yes"),Declaration!D69,0)</f>
        <v>0</v>
      </c>
      <c r="C50" s="89" t="str">
        <f ca="1">IF(H50=1,J50,I50)</f>
        <v>Vollständig</v>
      </c>
      <c r="D50" s="261" t="str">
        <f>IF(H50=1,"Click here to answer question 8 for Tin","")</f>
        <v/>
      </c>
      <c r="E50" s="20" t="s">
        <v>780</v>
      </c>
      <c r="F50" s="94">
        <f>F25</f>
        <v>0</v>
      </c>
      <c r="G50" s="70">
        <f>IF(B50=0,1,0)</f>
        <v>1</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 xml:space="preserve">Gold  </v>
      </c>
      <c r="B51" s="89">
        <f>IF(AND($B$16="Yes",$B$21="Yes"),Declaration!D70,0)</f>
        <v>0</v>
      </c>
      <c r="C51" s="89" t="str">
        <f ca="1">IF(H51=1,J51,I51)</f>
        <v>Vollständig</v>
      </c>
      <c r="D51" s="261" t="str">
        <f>IF(H51=1,"Click here to answer question 8 for Gold","")</f>
        <v/>
      </c>
      <c r="E51" s="20" t="s">
        <v>780</v>
      </c>
      <c r="F51" s="94">
        <f>F26</f>
        <v>0</v>
      </c>
      <c r="G51" s="70">
        <f>IF(B51=0,1,0)</f>
        <v>1</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780</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428</v>
      </c>
      <c r="F53" s="93"/>
      <c r="G53" s="93"/>
      <c r="H53" s="93"/>
    </row>
    <row r="54" spans="1:10" ht="39">
      <c r="A54" s="89" t="str">
        <f ca="1">Declaration!B75</f>
        <v>A. Haben Sie eine konfliktfreie Beschaffungsrichtlinie für Mineralien erstellt?</v>
      </c>
      <c r="B54" s="89" t="str">
        <f>Declaration!D75</f>
        <v>No</v>
      </c>
      <c r="C54" s="89" t="str">
        <f t="shared" ref="C54:C60" ca="1" si="10">IF(H54=1,J54,I54)</f>
        <v>Vollständig</v>
      </c>
      <c r="D54" s="95" t="str">
        <f>IF(H54=1,"Click here to answer question (A)","")</f>
        <v/>
      </c>
      <c r="E54" s="20" t="s">
        <v>1273</v>
      </c>
      <c r="F54" s="94">
        <f>IF(SUM(F$24:F$27)=0,0,1)</f>
        <v>0</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v>
      </c>
      <c r="B55" s="89" t="str">
        <f>Declaration!D77</f>
        <v>No</v>
      </c>
      <c r="C55" s="89" t="str">
        <f t="shared" ca="1" si="10"/>
        <v>Vollständig</v>
      </c>
      <c r="D55" s="95" t="str">
        <f>IF(H55=1,"Click here to answer question (B)","")</f>
        <v/>
      </c>
      <c r="E55" s="20" t="s">
        <v>1273</v>
      </c>
      <c r="F55" s="94">
        <f t="shared" ref="F55" si="12">F$54</f>
        <v>0</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89" t="s">
        <v>3</v>
      </c>
      <c r="B56" s="89">
        <f>Declaration!G77</f>
        <v>0</v>
      </c>
      <c r="C56" s="89" t="str">
        <f t="shared" ca="1" si="10"/>
        <v>Vollständig</v>
      </c>
      <c r="D56" s="95" t="str">
        <f>IF(H56=1,"Click here to specify URL for question (B)","")</f>
        <v/>
      </c>
      <c r="E56" s="20"/>
      <c r="F56" s="94">
        <f>IF(AND(F55=1,B55="Yes"),1,0)</f>
        <v>0</v>
      </c>
      <c r="G56" s="70">
        <f>IF(LEN(B56)&gt;1,0,1)</f>
        <v>1</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v>
      </c>
      <c r="B57" s="89" t="str">
        <f>Declaration!D79</f>
        <v>No</v>
      </c>
      <c r="C57" s="89" t="str">
        <f t="shared" ca="1" si="10"/>
        <v>Vollständig</v>
      </c>
      <c r="D57" s="95" t="str">
        <f>IF(H57=1,"Click here to answer question (C)","")</f>
        <v/>
      </c>
      <c r="E57" s="20" t="s">
        <v>1273</v>
      </c>
      <c r="F57" s="94">
        <f>F$54</f>
        <v>0</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v>
      </c>
      <c r="B58" s="89" t="str">
        <f>Declaration!D81</f>
        <v>No</v>
      </c>
      <c r="C58" s="89" t="str">
        <f t="shared" ca="1" si="10"/>
        <v>Vollständig</v>
      </c>
      <c r="D58" s="95" t="str">
        <f>IF(H58=1,"Click here to answer question (D)","")</f>
        <v/>
      </c>
      <c r="E58" s="20" t="s">
        <v>1273</v>
      </c>
      <c r="F58" s="94">
        <f>F$54</f>
        <v>0</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v>
      </c>
      <c r="B59" s="89" t="str">
        <f>Declaration!D83</f>
        <v>No</v>
      </c>
      <c r="C59" s="89" t="str">
        <f t="shared" ca="1" si="10"/>
        <v>Vollständig</v>
      </c>
      <c r="D59" s="95" t="str">
        <f>IF(H59=1,"Click here to answer question (E)","")</f>
        <v/>
      </c>
      <c r="E59" s="20" t="s">
        <v>1273</v>
      </c>
      <c r="F59" s="94">
        <f>F$54</f>
        <v>0</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v>
      </c>
      <c r="B60" s="89" t="str">
        <f>Declaration!D85</f>
        <v>No</v>
      </c>
      <c r="C60" s="89" t="str">
        <f t="shared" ca="1" si="10"/>
        <v>Vollständig</v>
      </c>
      <c r="D60" s="95" t="str">
        <f>IF(H60=1,"Click here to answer question (F)","")</f>
        <v/>
      </c>
      <c r="E60" s="20" t="s">
        <v>1273</v>
      </c>
      <c r="F60" s="94">
        <f>F$54</f>
        <v>0</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v>
      </c>
      <c r="B62" s="89" t="str">
        <f>Declaration!D87</f>
        <v>Yes</v>
      </c>
      <c r="C62" s="89" t="str">
        <f t="shared" ref="C62:C68" ca="1" si="13">IF(H62=1,J62,I62)</f>
        <v>Vollständig</v>
      </c>
      <c r="D62" s="95" t="str">
        <f>IF(H62=1,"Click here to answer question (G)","")</f>
        <v/>
      </c>
      <c r="E62" s="20" t="s">
        <v>1273</v>
      </c>
      <c r="F62" s="94">
        <f>F$54</f>
        <v>0</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v>
      </c>
      <c r="B63" s="89" t="str">
        <f>Declaration!D89</f>
        <v>No</v>
      </c>
      <c r="C63" s="89" t="str">
        <f t="shared" ca="1" si="13"/>
        <v>Vollständig</v>
      </c>
      <c r="D63" s="95" t="str">
        <f>IF(H63=1,"Click here to answer question (H)","")</f>
        <v/>
      </c>
      <c r="E63" s="20" t="s">
        <v>1273</v>
      </c>
      <c r="F63" s="94">
        <f>F$54</f>
        <v>0</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1266</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14996</v>
      </c>
      <c r="B65" s="89"/>
      <c r="C65" s="89" t="str">
        <f t="shared" ca="1" si="13"/>
        <v>Vollständig</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1806</v>
      </c>
      <c r="B66" s="89"/>
      <c r="C66" s="89" t="str">
        <f t="shared" ca="1" si="13"/>
        <v>Vollständig</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1807</v>
      </c>
      <c r="B67" s="89"/>
      <c r="C67" s="89" t="str">
        <f t="shared" ca="1" si="13"/>
        <v>Vollständig</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1808</v>
      </c>
      <c r="B68" s="89"/>
      <c r="C68" s="89" t="str">
        <f t="shared" ca="1" si="13"/>
        <v>Vollständig</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9" t="str">
        <f ca="1">OFFSET(L!$C$1,MATCH("Product List"&amp;ADDRESS(ROW(),COLUMN(),4),L!$A:$A,0)-1,SL,,)</f>
        <v>Abschluss nur erforderlich, wenn die Ebene "Produkt (oder eine Liste von Produkten)" auf der "Erklärung" Arbeitsblatt ausgewählt wurde-</v>
      </c>
      <c r="B1" s="400"/>
      <c r="C1" s="400"/>
      <c r="D1" s="400"/>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8" t="s">
        <v>869</v>
      </c>
      <c r="C4" s="398"/>
      <c r="D4" s="398"/>
      <c r="E4" s="24"/>
      <c r="F4"/>
    </row>
    <row r="5" spans="1:6" s="21" customFormat="1" ht="31.5">
      <c r="A5" s="131"/>
      <c r="B5" s="132" t="str">
        <f ca="1">OFFSET(L!$C$1,MATCH("Product List"&amp;ADDRESS(ROW(),COLUMN(),4),L!$A:$A,0)-1,SL,,)</f>
        <v>Produkt- oder Artikelnummer des Befragten (*)</v>
      </c>
      <c r="C5" s="132" t="str">
        <f ca="1">OFFSET(L!$C$1,MATCH("Product List"&amp;ADDRESS(ROW(),COLUMN(),4),L!$A:$A,0)-1,SL,,)</f>
        <v>Produkt- oder Artikelbeschreibung des Befragten</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401" t="str">
        <f ca="1">OFFSET(L!$C$1,MATCH("General"&amp;"Cpy",L!$A:$A,0)-1,SL,,)</f>
        <v>© 2025 Responsible Minerals Initiative. All rights reserved.</v>
      </c>
      <c r="C2006" s="401"/>
      <c r="D2006" s="401"/>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2"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402"/>
      <c r="C1" s="402"/>
      <c r="D1" s="402"/>
      <c r="E1" s="402"/>
      <c r="F1" s="402"/>
      <c r="G1" s="402"/>
    </row>
    <row r="2" spans="1:11">
      <c r="A2" s="403"/>
      <c r="B2" s="403"/>
      <c r="C2" s="403"/>
      <c r="D2" s="403"/>
      <c r="E2" s="403"/>
      <c r="F2" s="403"/>
      <c r="G2" s="403"/>
      <c r="H2" s="403"/>
      <c r="I2" s="403"/>
    </row>
    <row r="3" spans="1:11">
      <c r="A3" s="403"/>
      <c r="B3" s="403"/>
      <c r="C3" s="403"/>
      <c r="D3" s="403"/>
      <c r="E3" s="403"/>
      <c r="F3" s="403"/>
      <c r="G3" s="403"/>
      <c r="H3" s="403"/>
      <c r="I3" s="403"/>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Viktor Sorokin</cp:lastModifiedBy>
  <cp:lastPrinted>2015-04-21T20:47:43Z</cp:lastPrinted>
  <dcterms:created xsi:type="dcterms:W3CDTF">2010-06-21T21:00:23Z</dcterms:created>
  <dcterms:modified xsi:type="dcterms:W3CDTF">2025-12-03T10:13:59Z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